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9980" windowHeight="9600"/>
  </bookViews>
  <sheets>
    <sheet name="Section I" sheetId="2" r:id="rId1"/>
    <sheet name="Section II" sheetId="1" r:id="rId2"/>
    <sheet name="Section III" sheetId="3" r:id="rId3"/>
    <sheet name="Section IV" sheetId="4" r:id="rId4"/>
    <sheet name="Section V" sheetId="5" r:id="rId5"/>
    <sheet name="Section VI" sheetId="6" r:id="rId6"/>
  </sheets>
  <definedNames>
    <definedName name="_xlnm.Print_Area" localSheetId="0">'Section I'!$A$1:$D$48</definedName>
    <definedName name="_xlnm.Print_Area" localSheetId="1">'Section II'!$A$1:$C$38</definedName>
    <definedName name="_xlnm.Print_Area" localSheetId="2">'Section III'!$A$1:$C$50</definedName>
    <definedName name="_xlnm.Print_Area" localSheetId="3">'Section IV'!$A$1:$C$45</definedName>
    <definedName name="_xlnm.Print_Area" localSheetId="4">'Section V'!$A$1:$C$36</definedName>
    <definedName name="_xlnm.Print_Area" localSheetId="5">'Section VI'!$A$1:$C$24</definedName>
  </definedNames>
  <calcPr calcId="145621"/>
</workbook>
</file>

<file path=xl/calcChain.xml><?xml version="1.0" encoding="utf-8"?>
<calcChain xmlns="http://schemas.openxmlformats.org/spreadsheetml/2006/main">
  <c r="O27" i="3" l="1"/>
  <c r="O26" i="3"/>
  <c r="O25" i="3"/>
  <c r="O24" i="3"/>
  <c r="O23" i="3"/>
  <c r="U13" i="6"/>
  <c r="Q19" i="6"/>
  <c r="Q13" i="6"/>
  <c r="Q12" i="6"/>
  <c r="B19" i="6"/>
  <c r="Q12" i="5"/>
  <c r="B21" i="5"/>
  <c r="B20" i="5"/>
  <c r="B19" i="5"/>
  <c r="B12" i="5"/>
  <c r="U40" i="4"/>
  <c r="S36" i="4"/>
  <c r="S25" i="4"/>
  <c r="S9" i="4"/>
  <c r="S16" i="4" s="1"/>
  <c r="U47" i="3"/>
  <c r="U46" i="3"/>
  <c r="U45" i="3"/>
  <c r="U27" i="3"/>
  <c r="U17" i="3"/>
  <c r="U16" i="3"/>
  <c r="Q47" i="3"/>
  <c r="Q46" i="3"/>
  <c r="Q45" i="3"/>
  <c r="Q43" i="3"/>
  <c r="Q36" i="3"/>
  <c r="Q20" i="3"/>
  <c r="Q19" i="3"/>
  <c r="Q18" i="3"/>
  <c r="Q17" i="3"/>
  <c r="Q16" i="3"/>
  <c r="Q15" i="3"/>
  <c r="Q12" i="3"/>
  <c r="Q13" i="3"/>
  <c r="P47" i="3"/>
  <c r="P46" i="3"/>
  <c r="P45" i="3"/>
  <c r="P20" i="3"/>
  <c r="P17" i="3"/>
  <c r="P16" i="3"/>
  <c r="B47" i="3"/>
  <c r="B45" i="3"/>
  <c r="B20" i="3"/>
  <c r="B19" i="3"/>
  <c r="B18" i="3"/>
  <c r="B17" i="3"/>
  <c r="B16" i="3"/>
  <c r="B15" i="3"/>
  <c r="F13" i="3"/>
  <c r="B12" i="3"/>
  <c r="B13" i="3"/>
  <c r="B14" i="1"/>
  <c r="B15" i="1"/>
  <c r="B16" i="1"/>
  <c r="B17" i="1"/>
  <c r="B18" i="1"/>
  <c r="B20" i="1"/>
  <c r="B21" i="1"/>
  <c r="B35" i="1"/>
  <c r="B36" i="1"/>
  <c r="U16" i="1"/>
  <c r="Q21" i="1"/>
  <c r="Q20" i="1"/>
  <c r="Q18" i="1"/>
  <c r="Q17" i="1"/>
  <c r="Q16" i="1"/>
  <c r="Q15" i="1"/>
  <c r="Q14" i="1"/>
  <c r="O19" i="6"/>
  <c r="O18" i="6"/>
  <c r="O17" i="6"/>
  <c r="O9" i="6"/>
  <c r="O21" i="5"/>
  <c r="O20" i="5"/>
  <c r="O12" i="5"/>
  <c r="O11" i="5"/>
  <c r="O10" i="5"/>
  <c r="O47" i="3"/>
  <c r="O46" i="3"/>
  <c r="O45" i="3"/>
  <c r="O43" i="3"/>
  <c r="O36" i="3"/>
  <c r="O48" i="3" s="1"/>
  <c r="O20" i="3"/>
  <c r="O19" i="3"/>
  <c r="O18" i="3"/>
  <c r="O17" i="3"/>
  <c r="O16" i="3"/>
  <c r="O15" i="3"/>
  <c r="O13" i="3"/>
  <c r="O28" i="1"/>
  <c r="O29" i="1" s="1"/>
  <c r="O21" i="1"/>
  <c r="O20" i="1"/>
  <c r="O19" i="1"/>
  <c r="O18" i="1"/>
  <c r="O17" i="1"/>
  <c r="O9" i="1"/>
  <c r="O33" i="2"/>
  <c r="O39" i="2" s="1"/>
  <c r="O15" i="2"/>
  <c r="O14" i="2"/>
  <c r="O17" i="2"/>
  <c r="O11" i="2"/>
  <c r="O9" i="2"/>
  <c r="AD9" i="2" s="1"/>
  <c r="O10" i="2"/>
  <c r="O16" i="2"/>
  <c r="O34" i="2"/>
  <c r="O36" i="2"/>
  <c r="O38" i="2"/>
  <c r="O35" i="2"/>
  <c r="O37" i="2"/>
  <c r="AD10" i="3"/>
  <c r="AD11" i="3"/>
  <c r="AD23" i="3"/>
  <c r="AD24" i="3"/>
  <c r="AD25" i="3"/>
  <c r="AD26" i="3"/>
  <c r="AD30" i="3"/>
  <c r="AD31" i="3"/>
  <c r="AD32" i="3"/>
  <c r="AD37" i="3"/>
  <c r="AD38" i="3"/>
  <c r="AD39" i="3"/>
  <c r="AD40" i="3"/>
  <c r="AD41" i="3"/>
  <c r="AD42" i="3"/>
  <c r="AD27" i="3"/>
  <c r="AD43" i="3"/>
  <c r="AD36" i="3"/>
  <c r="AD45" i="3"/>
  <c r="AD19" i="3"/>
  <c r="AD15" i="3"/>
  <c r="AD17" i="3"/>
  <c r="AD13" i="3"/>
  <c r="AD20" i="3"/>
  <c r="AD47" i="3"/>
  <c r="AD46" i="3"/>
  <c r="AD18" i="3"/>
  <c r="AD16" i="3"/>
  <c r="AD12" i="3"/>
  <c r="AD22" i="6"/>
  <c r="AD21" i="6"/>
  <c r="AD18" i="6"/>
  <c r="AD17" i="6"/>
  <c r="AD11" i="6"/>
  <c r="AD10" i="6"/>
  <c r="AD9" i="6"/>
  <c r="AF22" i="6"/>
  <c r="AF21" i="6"/>
  <c r="AF18" i="6"/>
  <c r="AF17" i="6"/>
  <c r="AF11" i="6"/>
  <c r="AF10" i="6"/>
  <c r="AF9" i="6"/>
  <c r="AD34" i="5"/>
  <c r="AD33" i="5"/>
  <c r="AD32" i="5"/>
  <c r="AD30" i="5"/>
  <c r="AD29" i="5"/>
  <c r="AD27" i="5"/>
  <c r="AD26" i="5"/>
  <c r="AD24" i="5"/>
  <c r="AD23" i="5"/>
  <c r="AD18" i="5"/>
  <c r="AD16" i="5"/>
  <c r="AD15" i="5"/>
  <c r="AD14" i="5"/>
  <c r="AD11" i="5"/>
  <c r="AD10" i="5"/>
  <c r="AF34" i="5"/>
  <c r="AF33" i="5"/>
  <c r="AF32" i="5"/>
  <c r="AF30" i="5"/>
  <c r="AF29" i="5"/>
  <c r="AF27" i="5"/>
  <c r="AF26" i="5"/>
  <c r="AF24" i="5"/>
  <c r="AF23" i="5"/>
  <c r="AF18" i="5"/>
  <c r="AF16" i="5"/>
  <c r="AF15" i="5"/>
  <c r="AF14" i="5"/>
  <c r="AF11" i="5"/>
  <c r="AF10" i="5"/>
  <c r="AD44" i="4"/>
  <c r="AD43" i="4"/>
  <c r="AD42" i="4"/>
  <c r="AD41" i="4"/>
  <c r="AD39" i="4"/>
  <c r="AD35" i="4"/>
  <c r="AD34" i="4"/>
  <c r="AD33" i="4"/>
  <c r="AD32" i="4"/>
  <c r="AD31" i="4"/>
  <c r="AD30" i="4"/>
  <c r="AD29" i="4"/>
  <c r="AD28" i="4"/>
  <c r="AD24" i="4"/>
  <c r="AD23" i="4"/>
  <c r="AD22" i="4"/>
  <c r="AD20" i="4"/>
  <c r="AD19" i="4"/>
  <c r="AD15" i="4"/>
  <c r="AD14" i="4"/>
  <c r="AD13" i="4"/>
  <c r="AD12" i="4"/>
  <c r="AD11" i="4"/>
  <c r="AF44" i="4"/>
  <c r="AF43" i="4"/>
  <c r="AF42" i="4"/>
  <c r="AF41" i="4"/>
  <c r="AF39" i="4"/>
  <c r="AF35" i="4"/>
  <c r="AF34" i="4"/>
  <c r="AF33" i="4"/>
  <c r="AF32" i="4"/>
  <c r="AF31" i="4"/>
  <c r="AF30" i="4"/>
  <c r="AF29" i="4"/>
  <c r="AF28" i="4"/>
  <c r="AF24" i="4"/>
  <c r="AF23" i="4"/>
  <c r="AF22" i="4"/>
  <c r="AF20" i="4"/>
  <c r="AF19" i="4"/>
  <c r="AF18" i="4"/>
  <c r="AF15" i="4"/>
  <c r="AF14" i="4"/>
  <c r="AF13" i="4"/>
  <c r="AF12" i="4"/>
  <c r="AF11" i="4"/>
  <c r="AD20" i="2"/>
  <c r="W34" i="2"/>
  <c r="W11" i="2"/>
  <c r="W10" i="2"/>
  <c r="AF42" i="3"/>
  <c r="AF41" i="3"/>
  <c r="AF40" i="3"/>
  <c r="AF39" i="3"/>
  <c r="AF38" i="3"/>
  <c r="AF37" i="3"/>
  <c r="AF32" i="3"/>
  <c r="AF31" i="3"/>
  <c r="AF30" i="3"/>
  <c r="AF26" i="3"/>
  <c r="AF25" i="3"/>
  <c r="AF24" i="3"/>
  <c r="AF23" i="3"/>
  <c r="AF11" i="3"/>
  <c r="AF10" i="3"/>
  <c r="AD32" i="1"/>
  <c r="AD28" i="1"/>
  <c r="AD27" i="1"/>
  <c r="AD26" i="1"/>
  <c r="AD25" i="1"/>
  <c r="AD24" i="1"/>
  <c r="AD19" i="1"/>
  <c r="AD11" i="1"/>
  <c r="AD10" i="1"/>
  <c r="AF32" i="1"/>
  <c r="AF28" i="1"/>
  <c r="AF27" i="1"/>
  <c r="AF26" i="1"/>
  <c r="AF25" i="1"/>
  <c r="AF24" i="1"/>
  <c r="AF19" i="1"/>
  <c r="AF11" i="1"/>
  <c r="AF10" i="1"/>
  <c r="AF9" i="1"/>
  <c r="P16" i="1"/>
  <c r="P15" i="1"/>
  <c r="P14" i="1"/>
  <c r="AD42" i="2"/>
  <c r="AD33" i="2"/>
  <c r="AD22" i="2"/>
  <c r="AF46" i="2"/>
  <c r="AF43" i="2"/>
  <c r="AF42" i="2"/>
  <c r="AF33" i="2"/>
  <c r="AF29" i="2"/>
  <c r="AF27" i="2"/>
  <c r="AF25" i="2"/>
  <c r="AF22" i="2"/>
  <c r="AF20" i="2"/>
  <c r="AF18" i="2"/>
  <c r="AF14" i="2"/>
  <c r="AF9" i="2"/>
  <c r="AD14" i="2"/>
  <c r="F44" i="2"/>
  <c r="U44" i="2"/>
  <c r="U17" i="2"/>
  <c r="AB16" i="2"/>
  <c r="AB15" i="2"/>
  <c r="AF27" i="3"/>
  <c r="AD40" i="4"/>
  <c r="AF40" i="4"/>
  <c r="AF9" i="4"/>
  <c r="AD9" i="4"/>
  <c r="AD25" i="4"/>
  <c r="AF25" i="4"/>
  <c r="AD36" i="4"/>
  <c r="AF36" i="4"/>
  <c r="AF36" i="1"/>
  <c r="AF35" i="1"/>
  <c r="B44" i="2"/>
  <c r="B41" i="2"/>
  <c r="B40" i="2"/>
  <c r="B38" i="2"/>
  <c r="B34" i="2"/>
  <c r="B17" i="2"/>
  <c r="B15" i="2"/>
  <c r="B11" i="2"/>
  <c r="AD11" i="2"/>
  <c r="B10" i="2"/>
  <c r="AD10" i="2"/>
  <c r="Q45" i="2"/>
  <c r="Q37" i="2"/>
  <c r="Q36" i="2"/>
  <c r="Q35" i="2"/>
  <c r="Q34" i="2"/>
  <c r="Q17" i="2"/>
  <c r="Q16" i="2"/>
  <c r="Q15" i="2"/>
  <c r="AF13" i="3"/>
  <c r="AF16" i="2"/>
  <c r="AD16" i="2"/>
  <c r="AD36" i="2"/>
  <c r="AF36" i="2"/>
  <c r="AF36" i="3"/>
  <c r="AD12" i="6"/>
  <c r="AF12" i="6"/>
  <c r="AF11" i="2"/>
  <c r="AD17" i="2"/>
  <c r="AF17" i="2"/>
  <c r="AD38" i="2"/>
  <c r="AF38" i="2"/>
  <c r="AD40" i="2"/>
  <c r="AF40" i="2"/>
  <c r="AD16" i="1"/>
  <c r="AF16" i="1"/>
  <c r="AD18" i="1"/>
  <c r="AF18" i="1"/>
  <c r="AF21" i="1"/>
  <c r="AD21" i="1"/>
  <c r="AF16" i="3"/>
  <c r="AF18" i="3"/>
  <c r="AF20" i="3"/>
  <c r="AF47" i="3"/>
  <c r="AF19" i="5"/>
  <c r="AD19" i="5"/>
  <c r="AF21" i="5"/>
  <c r="AD21" i="5"/>
  <c r="Q44" i="2"/>
  <c r="AD44" i="2" s="1"/>
  <c r="AF45" i="2"/>
  <c r="AD45" i="2"/>
  <c r="AF35" i="2"/>
  <c r="AD35" i="2"/>
  <c r="AF37" i="2"/>
  <c r="AD37" i="2"/>
  <c r="AF43" i="3"/>
  <c r="AF46" i="3"/>
  <c r="AD13" i="6"/>
  <c r="AF13" i="6"/>
  <c r="AF10" i="2"/>
  <c r="AD15" i="2"/>
  <c r="AF15" i="2"/>
  <c r="AD34" i="2"/>
  <c r="AF34" i="2"/>
  <c r="B39" i="2"/>
  <c r="AF41" i="2"/>
  <c r="AD41" i="2"/>
  <c r="AD14" i="1"/>
  <c r="AF14" i="1"/>
  <c r="AF17" i="1"/>
  <c r="AD17" i="1"/>
  <c r="AD20" i="1"/>
  <c r="AF20" i="1"/>
  <c r="AF12" i="3"/>
  <c r="AF15" i="3"/>
  <c r="AF17" i="3"/>
  <c r="AF19" i="3"/>
  <c r="AF45" i="3"/>
  <c r="AD12" i="5"/>
  <c r="AF12" i="5"/>
  <c r="AD20" i="5"/>
  <c r="AF20" i="5"/>
  <c r="AD19" i="6"/>
  <c r="AF19" i="6"/>
  <c r="AF44" i="2"/>
  <c r="AF15" i="1"/>
  <c r="AD15" i="1"/>
  <c r="AD29" i="1" l="1"/>
  <c r="AF29" i="1"/>
  <c r="AF39" i="2"/>
  <c r="AD39" i="2"/>
  <c r="AF16" i="4"/>
  <c r="AD16" i="4"/>
</calcChain>
</file>

<file path=xl/sharedStrings.xml><?xml version="1.0" encoding="utf-8"?>
<sst xmlns="http://schemas.openxmlformats.org/spreadsheetml/2006/main" count="516" uniqueCount="335">
  <si>
    <t xml:space="preserve">COPLAC  Data  Collection  for </t>
  </si>
  <si>
    <t>Section  II:  Indicators  of  Student  Achievement</t>
  </si>
  <si>
    <t>Data Element</t>
  </si>
  <si>
    <t xml:space="preserve">   a. associate and lower</t>
  </si>
  <si>
    <t xml:space="preserve">   b. baccalaureate</t>
  </si>
  <si>
    <t xml:space="preserve">   c. master's and higher</t>
  </si>
  <si>
    <t xml:space="preserve">   a. to females</t>
  </si>
  <si>
    <t xml:space="preserve">   b. to males</t>
  </si>
  <si>
    <t xml:space="preserve">   d. in Humanities, Languages, and Communication
       (CIP-8-31-062001 #s 05, 09, 16, 23, 24, 38, 54) </t>
  </si>
  <si>
    <t xml:space="preserve">   e. in Mathematics, Natural and Physical Sciences, Computer
       Science (CIP-8-31-062001 #s 03, 11, 26, 27, 40)</t>
  </si>
  <si>
    <t xml:space="preserve">   f. in Multi/Interdisciplinary Studies (CIP-8-31-062001 # 30)</t>
  </si>
  <si>
    <t xml:space="preserve">   g. in Social Sciences (CIP-8-31-062001 #s 42, 45, 52)</t>
  </si>
  <si>
    <t xml:space="preserve">   h. in Visual and Performing Arts (CIP-8-31-062001 # 50)</t>
  </si>
  <si>
    <t xml:space="preserve">   a. percent of  baccalaureate recipients employed full-time</t>
  </si>
  <si>
    <t xml:space="preserve">   b. percent of baccalaureate recipients attending
       graduate or professional school full-time</t>
  </si>
  <si>
    <t>COPLAC  Data  Collection  for</t>
  </si>
  <si>
    <t>Section  I:  Admissions  and  Student  Characteristics</t>
  </si>
  <si>
    <t xml:space="preserve">   a. number of applications received</t>
  </si>
  <si>
    <t xml:space="preserve">   b. percent applicants admitted</t>
  </si>
  <si>
    <t xml:space="preserve">   c. percent admitted applicants who enrolled</t>
  </si>
  <si>
    <t xml:space="preserve">   a. Number (headcount) of all full-time first-time freshmen</t>
  </si>
  <si>
    <t xml:space="preserve">      1. percent full-time first-time female freshmen</t>
  </si>
  <si>
    <t xml:space="preserve">      2. percent full-time first-time male freshmen</t>
  </si>
  <si>
    <t xml:space="preserve">     3. percent minority full-time first-time freshmen
         (excluding Nonresident Aliens &amp; Unknown)</t>
  </si>
  <si>
    <t xml:space="preserve">  b. Number (headcount) of all part-time first-time freshmen</t>
  </si>
  <si>
    <t xml:space="preserve">   c. Preparation of full-time first-time freshmen</t>
  </si>
  <si>
    <r>
      <t xml:space="preserve">      1. percent in top 10% of high school class (CDS </t>
    </r>
    <r>
      <rPr>
        <b/>
        <sz val="10"/>
        <rFont val="Times New Roman"/>
        <family val="1"/>
      </rPr>
      <t>C10</t>
    </r>
    <r>
      <rPr>
        <sz val="10"/>
        <rFont val="Times New Roman"/>
        <family val="1"/>
      </rPr>
      <t>)</t>
    </r>
  </si>
  <si>
    <r>
      <t xml:space="preserve">      2. ACT scores (if available) (CDS </t>
    </r>
    <r>
      <rPr>
        <b/>
        <sz val="10"/>
        <rFont val="Times New Roman"/>
        <family val="1"/>
      </rPr>
      <t>C9</t>
    </r>
    <r>
      <rPr>
        <sz val="10"/>
        <rFont val="Times New Roman"/>
        <family val="1"/>
      </rPr>
      <t>)</t>
    </r>
  </si>
  <si>
    <t xml:space="preserve">          a. average ACT Composite score</t>
  </si>
  <si>
    <t xml:space="preserve">          b. score range for 2nd and 3rd quartiles combined
             (i.e., middle 50%) for ACT Composite scores</t>
  </si>
  <si>
    <r>
      <t xml:space="preserve">      3. SAT scores (if available) (CDS </t>
    </r>
    <r>
      <rPr>
        <b/>
        <sz val="10"/>
        <rFont val="Times New Roman"/>
        <family val="1"/>
      </rPr>
      <t>C9</t>
    </r>
    <r>
      <rPr>
        <sz val="10"/>
        <rFont val="Times New Roman"/>
        <family val="1"/>
      </rPr>
      <t>)</t>
    </r>
  </si>
  <si>
    <t xml:space="preserve">          a. average SAT Critical Reading score</t>
  </si>
  <si>
    <t xml:space="preserve">          b. score range for 2nd and 3rd quartiles combined
              (i.e., middle 50%) for SAT Critical Reading score </t>
  </si>
  <si>
    <t xml:space="preserve">          c. average SAT Writing score</t>
  </si>
  <si>
    <t xml:space="preserve">          d. score range for 2nd and 3rd quartiles combined
              (i.e., middle 50%) for SAT Writing score</t>
  </si>
  <si>
    <t xml:space="preserve">          e. average SAT Math score</t>
  </si>
  <si>
    <t xml:space="preserve">          f. score range for 2nd and 3rd quartiles combined
              (i.e., middle 50%) for SAT Math score</t>
  </si>
  <si>
    <r>
      <t xml:space="preserve">   a. Number (headcount) of all undergraduates (CDS </t>
    </r>
    <r>
      <rPr>
        <b/>
        <sz val="10"/>
        <rFont val="Times New Roman"/>
        <family val="1"/>
      </rPr>
      <t>B1</t>
    </r>
    <r>
      <rPr>
        <sz val="10"/>
        <rFont val="Times New Roman"/>
        <family val="1"/>
      </rPr>
      <t>)</t>
    </r>
  </si>
  <si>
    <t xml:space="preserve">      1. percent full-time undergraduates</t>
  </si>
  <si>
    <t xml:space="preserve">      3. percent female undergraduates</t>
  </si>
  <si>
    <t xml:space="preserve">      4. percent male undergraduates</t>
  </si>
  <si>
    <t xml:space="preserve">      5. percent in-state undergraduates</t>
  </si>
  <si>
    <t xml:space="preserve">      6. percent out-of-state undergraduates</t>
  </si>
  <si>
    <r>
      <t xml:space="preserve">      7. percent undergraduates age 25 or older (CDS </t>
    </r>
    <r>
      <rPr>
        <b/>
        <sz val="10"/>
        <rFont val="Times New Roman"/>
        <family val="1"/>
      </rPr>
      <t>F1</t>
    </r>
    <r>
      <rPr>
        <sz val="10"/>
        <rFont val="Times New Roman"/>
        <family val="1"/>
      </rPr>
      <t>)</t>
    </r>
  </si>
  <si>
    <r>
      <t xml:space="preserve">      8. percent undergraduates living on campus (CDS </t>
    </r>
    <r>
      <rPr>
        <b/>
        <sz val="10"/>
        <rFont val="Times New Roman"/>
        <family val="1"/>
      </rPr>
      <t>F1</t>
    </r>
    <r>
      <rPr>
        <sz val="10"/>
        <rFont val="Times New Roman"/>
        <family val="1"/>
      </rPr>
      <t>)</t>
    </r>
  </si>
  <si>
    <r>
      <t xml:space="preserve">   b. Number of new undergraduates who
       were transfer students (CDS </t>
    </r>
    <r>
      <rPr>
        <b/>
        <sz val="10"/>
        <rFont val="Times New Roman"/>
        <family val="1"/>
      </rPr>
      <t>D2</t>
    </r>
    <r>
      <rPr>
        <sz val="10"/>
        <rFont val="Times New Roman"/>
        <family val="1"/>
      </rPr>
      <t>)</t>
    </r>
  </si>
  <si>
    <t xml:space="preserve">   c. Number (headcount) of graduate students</t>
  </si>
  <si>
    <t xml:space="preserve">   d. Full-time equivalent (FTE) of all students*</t>
  </si>
  <si>
    <t xml:space="preserve">      1. undergraduate FTE enrollment*</t>
  </si>
  <si>
    <t xml:space="preserve">      2. graduate FTE enrollment*</t>
  </si>
  <si>
    <t>First-time, first-year (freshman) student: 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</si>
  <si>
    <t>COPLAC  Data  Collection</t>
  </si>
  <si>
    <t>Section  III:  Faculty  and  Staff</t>
  </si>
  <si>
    <t xml:space="preserve">   a. Delivery of instruction</t>
  </si>
  <si>
    <t xml:space="preserve">       1. full-time faculty (headcount)</t>
  </si>
  <si>
    <t xml:space="preserve">       2. part-time faculty (headcount)</t>
  </si>
  <si>
    <t xml:space="preserve">       4. FTE all faculty (sum of 9.a.1 and 9.a.3)</t>
  </si>
  <si>
    <t xml:space="preserve">   b. Full-time faculty characteristics</t>
  </si>
  <si>
    <t xml:space="preserve">       1. percent minority (excluding Nonresident Aliens)</t>
  </si>
  <si>
    <t xml:space="preserve">       2. percent tenured</t>
  </si>
  <si>
    <t xml:space="preserve">       3. percent tenure-track</t>
  </si>
  <si>
    <t xml:space="preserve">       4. percent female</t>
  </si>
  <si>
    <t xml:space="preserve">       5. percent male</t>
  </si>
  <si>
    <t xml:space="preserve">       6. percent age 60 and older</t>
  </si>
  <si>
    <t xml:space="preserve">   a. avg. 9-month base salary -- all ranks</t>
  </si>
  <si>
    <t xml:space="preserve">   b. avg. 9-month base salary -- Full Professor</t>
  </si>
  <si>
    <t xml:space="preserve">   c. avg. 9-month base salary -- Associate Professor</t>
  </si>
  <si>
    <t xml:space="preserve">   d. avg. 9-month base salary -- Assistant Professor</t>
  </si>
  <si>
    <t xml:space="preserve">   e. avg. 9-month base salary -- all others</t>
  </si>
  <si>
    <t xml:space="preserve">   a. avg. credit hours taught per full-time faculty member </t>
  </si>
  <si>
    <t xml:space="preserve">   b. avg. class enrollment (excl. Ind. Study) - lower level</t>
  </si>
  <si>
    <t xml:space="preserve">   c. avg. class enrollment (excl. Ind. Study) - upper level</t>
  </si>
  <si>
    <t xml:space="preserve">   a. Headcount (total) of full-time nonacademic staff </t>
  </si>
  <si>
    <t xml:space="preserve">      1. executive/administrative/managerial</t>
  </si>
  <si>
    <t xml:space="preserve">      2. professional</t>
  </si>
  <si>
    <t xml:space="preserve">      3. technical/paraprofessional</t>
  </si>
  <si>
    <t xml:space="preserve">      4. secretarial/clerical</t>
  </si>
  <si>
    <t xml:space="preserve">      5. skilled craft</t>
  </si>
  <si>
    <t xml:space="preserve">      6. service/maintenance</t>
  </si>
  <si>
    <t xml:space="preserve">   b. Headcount of part-time nonacademic staff</t>
  </si>
  <si>
    <r>
      <t xml:space="preserve">   c. From 12.a.1 above </t>
    </r>
    <r>
      <rPr>
        <sz val="9"/>
        <rFont val="Times New Roman"/>
        <family val="1"/>
      </rPr>
      <t>(executive/administrative/managerial staff . . .)</t>
    </r>
  </si>
  <si>
    <t xml:space="preserve">      1. percent female</t>
  </si>
  <si>
    <t xml:space="preserve">      2. percent male</t>
  </si>
  <si>
    <t xml:space="preserve">      3. percent minority (excluding Nonresident Aliens)</t>
  </si>
  <si>
    <t xml:space="preserve">   d. Ratio of full-time faculty headcount to full-time
       nonacademic staff headcount (i.e., ratio of 9.a.1 to 12.a)</t>
  </si>
  <si>
    <t xml:space="preserve">COPLAC  Data  Collection </t>
  </si>
  <si>
    <t>Section  IV:  Fiscal  Resources  and  Advancement</t>
  </si>
  <si>
    <t xml:space="preserve">   a. Tuition and fees (Line 01)</t>
  </si>
  <si>
    <t xml:space="preserve">   b. Grants and Contracts (Operating)</t>
  </si>
  <si>
    <t xml:space="preserve">       1. federal (Line 02)</t>
  </si>
  <si>
    <t xml:space="preserve">       2. state (Line 03)</t>
  </si>
  <si>
    <t xml:space="preserve">       3. local (Line 04)</t>
  </si>
  <si>
    <t xml:space="preserve">   c. Auxiliaries (Line 05)</t>
  </si>
  <si>
    <t xml:space="preserve">   d. Other sources (Line 08)</t>
  </si>
  <si>
    <t xml:space="preserve">   e. Total operating revenues (Line 09)</t>
  </si>
  <si>
    <t xml:space="preserve">   f. Revenues (Nonoperating)</t>
  </si>
  <si>
    <t xml:space="preserve">       1. federal appropriations (Line 10)</t>
  </si>
  <si>
    <t xml:space="preserve">       2. state appropriations (Line 11)</t>
  </si>
  <si>
    <t xml:space="preserve">       3. local appropriations (Line 12)</t>
  </si>
  <si>
    <t xml:space="preserve">   g. Grants (Nonoperating)</t>
  </si>
  <si>
    <t xml:space="preserve">       1. federal (Line 13)</t>
  </si>
  <si>
    <t xml:space="preserve">       2. state (Line 14)</t>
  </si>
  <si>
    <t xml:space="preserve">       3. local (Line 15)</t>
  </si>
  <si>
    <t xml:space="preserve">   h. Total nonoperating revenues (Line 19)</t>
  </si>
  <si>
    <t xml:space="preserve">   a. Instruction (Line 01)</t>
  </si>
  <si>
    <t xml:space="preserve">   b. Research (Lines 02)</t>
  </si>
  <si>
    <t xml:space="preserve">   c. Public service (Line 03)</t>
  </si>
  <si>
    <t xml:space="preserve">   d. Academic support (Line 05)</t>
  </si>
  <si>
    <t xml:space="preserve">   e. Student services Line 06)</t>
  </si>
  <si>
    <t xml:space="preserve">   f. Institutional support (Line 07)</t>
  </si>
  <si>
    <t xml:space="preserve">       2. percent participation of faculty and staff</t>
  </si>
  <si>
    <t xml:space="preserve">   b. Total annual development collections
       (including annual fund)</t>
  </si>
  <si>
    <r>
      <t xml:space="preserve">   c. Total market value of endowment, </t>
    </r>
    <r>
      <rPr>
        <u/>
        <sz val="10"/>
        <rFont val="Times New Roman"/>
        <family val="1"/>
      </rPr>
      <t>excluding</t>
    </r>
    <r>
      <rPr>
        <sz val="10"/>
        <rFont val="Times New Roman"/>
        <family val="1"/>
      </rPr>
      <t xml:space="preserve">
       quasi-endowment (i.e., board-designated endowment)</t>
    </r>
  </si>
  <si>
    <t xml:space="preserve">   d. Total market value of funds functioning as endowment
       (excluding funds reported in 15c)</t>
  </si>
  <si>
    <t>Section  V:  Revenue,  Financial  Aid,  and  Related  Indicators</t>
  </si>
  <si>
    <t xml:space="preserve">       1. in-state student</t>
  </si>
  <si>
    <t xml:space="preserve">       2. out-of-state student</t>
  </si>
  <si>
    <t xml:space="preserve">   b. Total annual room and board
       (double occupancy with full meal plan)</t>
  </si>
  <si>
    <r>
      <t xml:space="preserve">   c. Financial aid budget </t>
    </r>
    <r>
      <rPr>
        <b/>
        <sz val="10"/>
        <rFont val="Times New Roman"/>
        <family val="1"/>
      </rPr>
      <t>(from institution's own funds only)</t>
    </r>
    <r>
      <rPr>
        <sz val="10"/>
        <rFont val="Times New Roman"/>
        <family val="1"/>
      </rPr>
      <t xml:space="preserve"> . . .</t>
    </r>
  </si>
  <si>
    <t xml:space="preserve">       1. total for in-state students</t>
  </si>
  <si>
    <t xml:space="preserve">       2. total for out-of-state students</t>
  </si>
  <si>
    <t xml:space="preserve">   d. Total unduplicated headcount of
       students receiving financial aid</t>
  </si>
  <si>
    <t xml:space="preserve">   e. Total value of financial aid from . . . </t>
  </si>
  <si>
    <t xml:space="preserve">       1. federal sources, excluding loans</t>
  </si>
  <si>
    <t xml:space="preserve">       2. state sources, excluding institutional funds and loans</t>
  </si>
  <si>
    <t xml:space="preserve">       3. all institutional funds, excluding loans</t>
  </si>
  <si>
    <t xml:space="preserve">       4. all federal, state, guaranteed, and institutional
           student loans (both subsidized and unsubsidized)</t>
  </si>
  <si>
    <r>
      <t xml:space="preserve">   f. Institutionally-funded </t>
    </r>
    <r>
      <rPr>
        <u/>
        <sz val="10"/>
        <rFont val="Times New Roman"/>
        <family val="1"/>
      </rPr>
      <t>academic merit</t>
    </r>
    <r>
      <rPr>
        <sz val="10"/>
        <rFont val="Times New Roman"/>
        <family val="1"/>
      </rPr>
      <t xml:space="preserve"> scholarships</t>
    </r>
  </si>
  <si>
    <t xml:space="preserve">      1. number of scholarships</t>
  </si>
  <si>
    <t xml:space="preserve">      2. total amount awarded</t>
  </si>
  <si>
    <r>
      <t xml:space="preserve">  g. Institutionally-funded </t>
    </r>
    <r>
      <rPr>
        <u/>
        <sz val="10"/>
        <rFont val="Times New Roman"/>
        <family val="1"/>
      </rPr>
      <t>non-academic merit</t>
    </r>
    <r>
      <rPr>
        <sz val="10"/>
        <rFont val="Times New Roman"/>
        <family val="1"/>
      </rPr>
      <t xml:space="preserve"> scholarships,
      (e.g., music, debate, etc., but excluding athletics)</t>
    </r>
  </si>
  <si>
    <t xml:space="preserve">  h. Athletic scholarships</t>
  </si>
  <si>
    <t xml:space="preserve">   i. Need-based scholarships</t>
  </si>
  <si>
    <r>
      <t xml:space="preserve">   j. Average financial aid awarded (include </t>
    </r>
    <r>
      <rPr>
        <b/>
        <sz val="10"/>
        <rFont val="Times New Roman"/>
        <family val="1"/>
      </rPr>
      <t>all</t>
    </r>
    <r>
      <rPr>
        <sz val="10"/>
        <rFont val="Times New Roman"/>
        <family val="1"/>
      </rPr>
      <t xml:space="preserve"> sources for
       all full-time students receiving aid)</t>
    </r>
  </si>
  <si>
    <t>Section  VI:  Selected  Indicators</t>
  </si>
  <si>
    <t xml:space="preserve">   a. number (headcount) of first-time freshmen</t>
  </si>
  <si>
    <t xml:space="preserve">   b. number (headcount) of all undergraduates</t>
  </si>
  <si>
    <t xml:space="preserve">   c. number (headcount) of all graduate students</t>
  </si>
  <si>
    <t xml:space="preserve">   d. FTE enrollment -- all undergraduates*</t>
  </si>
  <si>
    <t xml:space="preserve">   e. FTE enrollment -- all graduate students*</t>
  </si>
  <si>
    <t xml:space="preserve">       1. in-state</t>
  </si>
  <si>
    <t xml:space="preserve">       2. out-of-state</t>
  </si>
  <si>
    <t xml:space="preserve">   b. Total annual room and board 
       (double occupancy with full meal plan)</t>
  </si>
  <si>
    <r>
      <t xml:space="preserve">   c. Overall financial aid budget </t>
    </r>
    <r>
      <rPr>
        <b/>
        <sz val="10"/>
        <rFont val="Times New Roman"/>
        <family val="1"/>
      </rPr>
      <t>(institution's own funds only)</t>
    </r>
  </si>
  <si>
    <r>
      <t xml:space="preserve">   a. Total annual fund collections </t>
    </r>
    <r>
      <rPr>
        <b/>
        <i/>
        <sz val="10"/>
        <rFont val="Times New Roman"/>
        <family val="1"/>
      </rPr>
      <t>* See definition below</t>
    </r>
  </si>
  <si>
    <r>
      <t xml:space="preserve">       1. percent participation of alumni </t>
    </r>
    <r>
      <rPr>
        <b/>
        <i/>
        <sz val="10"/>
        <rFont val="Times New Roman"/>
        <family val="1"/>
      </rPr>
      <t>** See definition below</t>
    </r>
  </si>
  <si>
    <t>** Alumni donors are alumni with undergraduate degrees from your institution who made one or more gifts for either current operations, scholarships or capital expenses during the specified year.</t>
  </si>
  <si>
    <t>* Annual fund collections exclude endowed and estate gifts.</t>
  </si>
  <si>
    <r>
      <t xml:space="preserve">       3. FTE (full-time equivalent) part-time faculty </t>
    </r>
    <r>
      <rPr>
        <b/>
        <i/>
        <sz val="10"/>
        <rFont val="Times New Roman"/>
        <family val="1"/>
      </rPr>
      <t>**Definition below</t>
    </r>
  </si>
  <si>
    <t>** Part-time FTE is the sum of all part-time faculty teaching credit load divided by 12.</t>
  </si>
  <si>
    <r>
      <t xml:space="preserve">   d. ratio of FTE undergraduate students</t>
    </r>
    <r>
      <rPr>
        <b/>
        <sz val="10"/>
        <rFont val="Times New Roman"/>
        <family val="1"/>
      </rPr>
      <t>*</t>
    </r>
    <r>
      <rPr>
        <sz val="10"/>
        <rFont val="Times New Roman"/>
        <family val="1"/>
      </rPr>
      <t xml:space="preserve"> to FTE faculty (9.a.4)</t>
    </r>
  </si>
  <si>
    <t xml:space="preserve">      2. percent minority undergraduates
          (excluding Nonresident Aliens &amp; Unknown)</t>
  </si>
  <si>
    <t xml:space="preserve">   c. to minorities (excluding Nonresident Aliens &amp; Unknown)</t>
  </si>
  <si>
    <t xml:space="preserve">   a. Total annual (30 credit hours) tuition and required fees for each . . .</t>
  </si>
  <si>
    <t xml:space="preserve">   a. Total annual (30 credit hours) tuition and required fees . . .</t>
  </si>
  <si>
    <t>* For a single semester (in this case, Fall 2011) FTE undergraduate students is the sum of all undergraduate student credit hours divided by 15; for FTE graduate students it is the sum of all graduate student credit hours divided by 12.</t>
  </si>
  <si>
    <t>Academic  Year  (AY  2011-12)</t>
  </si>
  <si>
    <r>
      <t xml:space="preserve">1. First-Time, First-Year Admissions (Fall 2011) (based on figures from </t>
    </r>
    <r>
      <rPr>
        <b/>
        <i/>
        <u/>
        <sz val="10"/>
        <rFont val="Times New Roman"/>
        <family val="1"/>
      </rPr>
      <t>2011-12</t>
    </r>
    <r>
      <rPr>
        <b/>
        <i/>
        <sz val="10"/>
        <rFont val="Times New Roman"/>
        <family val="1"/>
      </rPr>
      <t xml:space="preserve"> Common Data Set (CDS C1)</t>
    </r>
  </si>
  <si>
    <t>2. First-time freshmen (Fall 2011) (based on figures from     2011-12 Common Data Set) *see definition below</t>
  </si>
  <si>
    <t>3. Total student body (Fall 2011) (based on figures from     2011-12 Common Data Set)</t>
  </si>
  <si>
    <t>4. Total degrees conferred* (AY 2011-12)</t>
  </si>
  <si>
    <t>5. Percent of all baccalaureate degrees
    in AY 2011-12 awarded . . .</t>
  </si>
  <si>
    <r>
      <t xml:space="preserve">6. Graduation rate (based on figures from </t>
    </r>
    <r>
      <rPr>
        <b/>
        <i/>
        <u/>
        <sz val="10"/>
        <rFont val="Times New Roman"/>
        <family val="1"/>
      </rPr>
      <t>2012-13</t>
    </r>
    <r>
      <rPr>
        <b/>
        <i/>
        <sz val="10"/>
        <rFont val="Times New Roman"/>
        <family val="1"/>
      </rPr>
      <t xml:space="preserve"> Common
    Data Set (CDS)</t>
    </r>
  </si>
  <si>
    <r>
      <t xml:space="preserve">   a. size of entering Fall 2006 cohort, after exclusions (CDS </t>
    </r>
    <r>
      <rPr>
        <b/>
        <sz val="10"/>
        <rFont val="Times New Roman"/>
        <family val="1"/>
      </rPr>
      <t>B6</t>
    </r>
    <r>
      <rPr>
        <sz val="10"/>
        <rFont val="Times New Roman"/>
        <family val="1"/>
      </rPr>
      <t>)</t>
    </r>
  </si>
  <si>
    <r>
      <t xml:space="preserve">   b. number from Fall 2006 cohort who graduated by 8-31-07
       (CDS </t>
    </r>
    <r>
      <rPr>
        <b/>
        <sz val="10"/>
        <rFont val="Times New Roman"/>
        <family val="1"/>
      </rPr>
      <t>B7</t>
    </r>
    <r>
      <rPr>
        <sz val="10"/>
        <rFont val="Times New Roman"/>
        <family val="1"/>
      </rPr>
      <t>)</t>
    </r>
  </si>
  <si>
    <r>
      <t xml:space="preserve">   c. number from Fall 2006 cohort who graduated after 8-31-07
       and by 8-31-08 (CDS </t>
    </r>
    <r>
      <rPr>
        <b/>
        <sz val="10"/>
        <rFont val="Times New Roman"/>
        <family val="1"/>
      </rPr>
      <t>B8</t>
    </r>
    <r>
      <rPr>
        <sz val="10"/>
        <rFont val="Times New Roman"/>
        <family val="1"/>
      </rPr>
      <t>)</t>
    </r>
  </si>
  <si>
    <r>
      <t xml:space="preserve">   d. number from Fall 2006 cohort who graduated after 8-31-08
       and by 8-31-09 (CDS </t>
    </r>
    <r>
      <rPr>
        <b/>
        <sz val="10"/>
        <rFont val="Times New Roman"/>
        <family val="1"/>
      </rPr>
      <t>B9</t>
    </r>
    <r>
      <rPr>
        <sz val="10"/>
        <rFont val="Times New Roman"/>
        <family val="1"/>
      </rPr>
      <t>)</t>
    </r>
  </si>
  <si>
    <r>
      <t xml:space="preserve">   e. number from entering Fall 2006 cohort who graduated
       within 6 years (sum of items 6b, 6c, 6d above) (CDS </t>
    </r>
    <r>
      <rPr>
        <b/>
        <sz val="10"/>
        <rFont val="Times New Roman"/>
        <family val="1"/>
      </rPr>
      <t>B10</t>
    </r>
    <r>
      <rPr>
        <sz val="10"/>
        <rFont val="Times New Roman"/>
        <family val="1"/>
      </rPr>
      <t>)</t>
    </r>
  </si>
  <si>
    <r>
      <t xml:space="preserve">   f.  six year graduation rate (%) for entering Fall 2006 cohort
       (6a divided by 6e above) (CDS </t>
    </r>
    <r>
      <rPr>
        <b/>
        <sz val="10"/>
        <rFont val="Times New Roman"/>
        <family val="1"/>
      </rPr>
      <t>B11</t>
    </r>
    <r>
      <rPr>
        <sz val="10"/>
        <rFont val="Times New Roman"/>
        <family val="1"/>
      </rPr>
      <t>)</t>
    </r>
  </si>
  <si>
    <r>
      <t xml:space="preserve">7. Retention (based on figures from </t>
    </r>
    <r>
      <rPr>
        <b/>
        <i/>
        <u/>
        <sz val="10"/>
        <rFont val="Times New Roman"/>
        <family val="1"/>
      </rPr>
      <t>2012-13</t>
    </r>
    <r>
      <rPr>
        <b/>
        <i/>
        <sz val="10"/>
        <rFont val="Times New Roman"/>
        <family val="1"/>
      </rPr>
      <t xml:space="preserve"> Common
    Data Set (CDS)</t>
    </r>
  </si>
  <si>
    <r>
      <t xml:space="preserve">   Freshman-to-sophomore retention rate for first-time, full-time,
   degree-seeking freshmen (</t>
    </r>
    <r>
      <rPr>
        <b/>
        <sz val="10"/>
        <rFont val="Times New Roman"/>
        <family val="1"/>
      </rPr>
      <t>i.e., % Fall 2011 entering cohort
   who returned in Fall 2012</t>
    </r>
    <r>
      <rPr>
        <sz val="10"/>
        <rFont val="Times New Roman"/>
        <family val="1"/>
      </rPr>
      <t xml:space="preserve">) (CDS </t>
    </r>
    <r>
      <rPr>
        <b/>
        <sz val="10"/>
        <rFont val="Times New Roman"/>
        <family val="1"/>
      </rPr>
      <t>B22</t>
    </r>
    <r>
      <rPr>
        <sz val="10"/>
        <rFont val="Times New Roman"/>
        <family val="1"/>
      </rPr>
      <t>)</t>
    </r>
  </si>
  <si>
    <r>
      <t xml:space="preserve">8. Within 12 months of </t>
    </r>
    <r>
      <rPr>
        <b/>
        <i/>
        <u/>
        <sz val="10"/>
        <rFont val="Times New Roman"/>
        <family val="1"/>
      </rPr>
      <t>AY 2010-11</t>
    </r>
    <r>
      <rPr>
        <b/>
        <i/>
        <sz val="10"/>
        <rFont val="Times New Roman"/>
        <family val="1"/>
      </rPr>
      <t xml:space="preserve"> graduation . . .</t>
    </r>
  </si>
  <si>
    <t>*For degrees conferred, AY 2011-12 includes Summer 2011,
  Fall 2011, and Spring 2012 terms (consistent with IPEDS).</t>
  </si>
  <si>
    <t>9. Faculty profile (Fall 2011)</t>
  </si>
  <si>
    <t>10. Average salaries for full-time faculty (AY 2011-12)</t>
  </si>
  <si>
    <t>11. Faculty teaching assignments (Fall 2011)</t>
  </si>
  <si>
    <t>12. Nonacademic staff profile (Fall 2011) (IPEDS)</t>
  </si>
  <si>
    <t>* For a single semester (in this case, Fall 2011) FTE undergraduate students is the sum of all undergraduate student credit hours divided by 15.</t>
  </si>
  <si>
    <t>13. Revenues and Other Additions (from Part B of
      IPEDS Finance Survey for FY 2011-12)</t>
  </si>
  <si>
    <t>14. Expenses and Other Deductions (from Part C, Column 1
      [current year total], of IPEDS Finance Survey for
      FY 2011-12)</t>
  </si>
  <si>
    <t>15. Advancement activities (FY 2011-12)</t>
  </si>
  <si>
    <t>16. Student charges and financial aid (FY 2011-12)</t>
  </si>
  <si>
    <t>* For a single semester (in this case Fall 2011), FTE undergraduate students is the sum of all undergraduate student credit hours divided by 15; for FTE graduate students it is the sum of all graduate student credit hours divided by 12.</t>
  </si>
  <si>
    <r>
      <rPr>
        <b/>
        <u/>
        <sz val="14"/>
        <rFont val="Times New Roman"/>
        <family val="1"/>
      </rPr>
      <t>Current  Academic  Year</t>
    </r>
    <r>
      <rPr>
        <b/>
        <sz val="14"/>
        <rFont val="Times New Roman"/>
        <family val="1"/>
      </rPr>
      <t xml:space="preserve">  (AY  2012-13)</t>
    </r>
  </si>
  <si>
    <t>* For a single semester (in this case, Fall 2012) FTE undergraduate students is the sum of all undergraduate student credit hours divided by 15; for FTE graduate students it is the sum of all graduate student credit hours divided by 12.</t>
  </si>
  <si>
    <t xml:space="preserve">   g. Scholarships (Line 10)</t>
  </si>
  <si>
    <t xml:space="preserve">   h. Auxiliary enterprises (Line 11)</t>
  </si>
  <si>
    <t xml:space="preserve">   i. Total operating expenses (Line 19)</t>
  </si>
  <si>
    <t>17. Student enrollment (Fall 2012)</t>
  </si>
  <si>
    <t>18. Student charges and financial aid (FY 2012-13)</t>
  </si>
  <si>
    <t>19 - 24</t>
  </si>
  <si>
    <t>450 - 560</t>
  </si>
  <si>
    <t>450 - 550</t>
  </si>
  <si>
    <t>Eastern Conn. State Univ.</t>
  </si>
  <si>
    <t>Evergreen State College</t>
  </si>
  <si>
    <t>Fort Lewis College</t>
  </si>
  <si>
    <t>Georgia College &amp; State Univ.</t>
  </si>
  <si>
    <t>Henderson State Univ.</t>
  </si>
  <si>
    <t>Keene State College</t>
  </si>
  <si>
    <t>Mass. College of Liberal Arts</t>
  </si>
  <si>
    <t>Midwestern State Univ.</t>
  </si>
  <si>
    <t>New College of Florida</t>
  </si>
  <si>
    <t>Ramapo College of New Jersey</t>
  </si>
  <si>
    <t>Shepherd Univ.</t>
  </si>
  <si>
    <t>Sonoma State Univ.</t>
  </si>
  <si>
    <t>Southern Oregon Univ.</t>
  </si>
  <si>
    <t>St. Mary's College of Maryland</t>
  </si>
  <si>
    <t>SUNY College at Geneseo</t>
  </si>
  <si>
    <t>Truman State Univ.</t>
  </si>
  <si>
    <t>Univ. of Alberta Augustana Campus</t>
  </si>
  <si>
    <t>Univ. of Illinois Springfield</t>
  </si>
  <si>
    <t>Univ. of Maine at Farmington</t>
  </si>
  <si>
    <t>Univ. of Mary Washington</t>
  </si>
  <si>
    <t>Univ. of Minnesota, Morris</t>
  </si>
  <si>
    <t>Univ. of Montevallo</t>
  </si>
  <si>
    <t>UNC Asheville</t>
  </si>
  <si>
    <t>Univ. of Science and Arts of Oklahoma</t>
  </si>
  <si>
    <t>Univ. of Virginia's College at Wise</t>
  </si>
  <si>
    <t>Univ. of Wisconsin Superior</t>
  </si>
  <si>
    <t>18-23</t>
  </si>
  <si>
    <t>450-550</t>
  </si>
  <si>
    <t>0.66:1</t>
  </si>
  <si>
    <t>22-27</t>
  </si>
  <si>
    <t>530-640</t>
  </si>
  <si>
    <t>520-620</t>
  </si>
  <si>
    <t>500-610</t>
  </si>
  <si>
    <t>13.5:1</t>
  </si>
  <si>
    <t>25-30</t>
  </si>
  <si>
    <t>553-628</t>
  </si>
  <si>
    <t>563-648</t>
  </si>
  <si>
    <t>440-570</t>
  </si>
  <si>
    <t>440-540</t>
  </si>
  <si>
    <t>27-30</t>
  </si>
  <si>
    <t>590-690</t>
  </si>
  <si>
    <t>600-690</t>
  </si>
  <si>
    <t>21-24</t>
  </si>
  <si>
    <t>0.59:1</t>
  </si>
  <si>
    <t>22-26</t>
  </si>
  <si>
    <t>520-610</t>
  </si>
  <si>
    <t>510-600</t>
  </si>
  <si>
    <t>19 – 23</t>
  </si>
  <si>
    <t>450 – 550</t>
  </si>
  <si>
    <t>460 – 560</t>
  </si>
  <si>
    <t>450 – 540</t>
  </si>
  <si>
    <t>27-31</t>
  </si>
  <si>
    <t>630-740</t>
  </si>
  <si>
    <t>600-680</t>
  </si>
  <si>
    <t>570-68</t>
  </si>
  <si>
    <t>0.40:1</t>
  </si>
  <si>
    <t>24-28</t>
  </si>
  <si>
    <t>540-640</t>
  </si>
  <si>
    <t>510-630</t>
  </si>
  <si>
    <t>530-620</t>
  </si>
  <si>
    <t>0.51:1</t>
  </si>
  <si>
    <t>21 - 26</t>
  </si>
  <si>
    <t>510 - 640</t>
  </si>
  <si>
    <t>470 - 610</t>
  </si>
  <si>
    <t>460 - 580</t>
  </si>
  <si>
    <t>&lt;1%</t>
  </si>
  <si>
    <t>19-25</t>
  </si>
  <si>
    <t>450-590</t>
  </si>
  <si>
    <t>430-560</t>
  </si>
  <si>
    <t>440-560</t>
  </si>
  <si>
    <t xml:space="preserve"> </t>
  </si>
  <si>
    <t>20 - 26</t>
  </si>
  <si>
    <t>--</t>
  </si>
  <si>
    <t>9.5:1</t>
  </si>
  <si>
    <t>18-24</t>
  </si>
  <si>
    <t>450-560</t>
  </si>
  <si>
    <t>0.45:1</t>
  </si>
  <si>
    <t>19 - 25</t>
  </si>
  <si>
    <t>470 - 560</t>
  </si>
  <si>
    <t>460 - 550</t>
  </si>
  <si>
    <t>19:1</t>
  </si>
  <si>
    <t>14.2:1</t>
  </si>
  <si>
    <t>0.48 :1</t>
  </si>
  <si>
    <t>0.87: 1</t>
  </si>
  <si>
    <t>0.42: 1</t>
  </si>
  <si>
    <t>0.43: 1</t>
  </si>
  <si>
    <t>0.54:1</t>
  </si>
  <si>
    <t>20-24</t>
  </si>
  <si>
    <t>450-555</t>
  </si>
  <si>
    <t>430-530</t>
  </si>
  <si>
    <t>480-580</t>
  </si>
  <si>
    <t>COPLAC avg. (based on data provided by at least 17 institutions)</t>
  </si>
  <si>
    <t>25-29</t>
  </si>
  <si>
    <t>560-680</t>
  </si>
  <si>
    <t>550-670</t>
  </si>
  <si>
    <t>540-650</t>
  </si>
  <si>
    <t>500 - 599</t>
  </si>
  <si>
    <t>18:1</t>
  </si>
  <si>
    <t>17-22</t>
  </si>
  <si>
    <t>420-540</t>
  </si>
  <si>
    <t>410-510</t>
  </si>
  <si>
    <t>420-530</t>
  </si>
  <si>
    <t>23-28</t>
  </si>
  <si>
    <t>510-650</t>
  </si>
  <si>
    <t>590-630</t>
  </si>
  <si>
    <t>N/A</t>
  </si>
  <si>
    <t>25.3-30.9</t>
  </si>
  <si>
    <t>15.5:1</t>
  </si>
  <si>
    <t>22.6:1</t>
  </si>
  <si>
    <t>16.4:1</t>
  </si>
  <si>
    <t>0.48:1</t>
  </si>
  <si>
    <t>0.36:1</t>
  </si>
  <si>
    <t>0.60:1</t>
  </si>
  <si>
    <t>14.9:1</t>
  </si>
  <si>
    <t>12.7:1</t>
  </si>
  <si>
    <t>15.3:1</t>
  </si>
  <si>
    <t>0.44: 1</t>
  </si>
  <si>
    <t>0.68:1</t>
  </si>
  <si>
    <t>0.53:1</t>
  </si>
  <si>
    <t>17.4:1</t>
  </si>
  <si>
    <t>18.9:1</t>
  </si>
  <si>
    <t>15.1:1</t>
  </si>
  <si>
    <t>0.30:1</t>
  </si>
  <si>
    <t>0.60: 1</t>
  </si>
  <si>
    <t>15.7:1</t>
  </si>
  <si>
    <t>9.9:1</t>
  </si>
  <si>
    <t>0.77: 1</t>
  </si>
  <si>
    <t>13.8:1</t>
  </si>
  <si>
    <t>15.8:1</t>
  </si>
  <si>
    <t>14.7:1</t>
  </si>
  <si>
    <t>0.36: 1</t>
  </si>
  <si>
    <t>0.55:1</t>
  </si>
  <si>
    <t>0.52:1</t>
  </si>
  <si>
    <t>12.9:1</t>
  </si>
  <si>
    <t>14.5:1</t>
  </si>
  <si>
    <t>14.8:1</t>
  </si>
  <si>
    <t>0.67: 1</t>
  </si>
  <si>
    <t>0.29:1</t>
  </si>
  <si>
    <t>20-25</t>
  </si>
  <si>
    <t>460-580</t>
  </si>
  <si>
    <t>450-580</t>
  </si>
  <si>
    <t>Southern Utah Univ.</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</si>
</sst>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3" formatCode="_(* #,##0.00_);_(* \(#,##0.00\);_(* &quot;-&quot;??_);_(@_)"/>
    <numFmt numFmtId="164" formatCode="0.0"/>
    <numFmt numFmtId="165" formatCode="#,##0.0"/>
    <numFmt numFmtId="166" formatCode="&quot;$&quot;#,##0"/>
    <numFmt numFmtId="167" formatCode="0.0%"/>
    <numFmt numFmtId="168" formatCode="&quot;1:&quot;0"/>
  </numFmts>
  <fonts count="23" x14ac:knownFonts="1">
    <font>
      <sz val="10"/>
      <name val="Arial"/>
    </font>
    <font>
      <sz val="11"/>
      <color theme="1"/>
      <name val="Calibri"/>
      <family val="2"/>
      <scheme val="minor"/>
    </font>
    <font>
      <b/>
      <sz val="14"/>
      <name val="Times New Roman"/>
      <family val="1"/>
    </font>
    <font>
      <b/>
      <sz val="12"/>
      <name val="Times New Roman"/>
      <family val="1"/>
    </font>
    <font>
      <b/>
      <sz val="9"/>
      <name val="Times New Roman"/>
      <family val="1"/>
    </font>
    <font>
      <b/>
      <sz val="9"/>
      <name val="Arial"/>
      <family val="2"/>
    </font>
    <font>
      <sz val="10"/>
      <name val="Times New Roman"/>
      <family val="1"/>
    </font>
    <font>
      <b/>
      <i/>
      <sz val="10"/>
      <name val="Times New Roman"/>
      <family val="1"/>
    </font>
    <font>
      <b/>
      <i/>
      <u/>
      <sz val="10"/>
      <name val="Times New Roman"/>
      <family val="1"/>
    </font>
    <font>
      <b/>
      <sz val="10"/>
      <name val="Times New Roman"/>
      <family val="1"/>
    </font>
    <font>
      <sz val="10"/>
      <name val="Arial"/>
      <family val="2"/>
    </font>
    <font>
      <b/>
      <sz val="9"/>
      <name val="Arial"/>
      <family val="2"/>
    </font>
    <font>
      <sz val="10"/>
      <name val="Arial"/>
      <family val="2"/>
    </font>
    <font>
      <sz val="9.5"/>
      <name val="Times New Roman"/>
      <family val="1"/>
    </font>
    <font>
      <b/>
      <sz val="10"/>
      <name val="Arial"/>
      <family val="2"/>
    </font>
    <font>
      <sz val="9"/>
      <name val="Times New Roman"/>
      <family val="1"/>
    </font>
    <font>
      <b/>
      <sz val="10"/>
      <name val="Arial"/>
      <family val="2"/>
    </font>
    <font>
      <u/>
      <sz val="10"/>
      <name val="Times New Roman"/>
      <family val="1"/>
    </font>
    <font>
      <b/>
      <u/>
      <sz val="14"/>
      <name val="Times New Roman"/>
      <family val="1"/>
    </font>
    <font>
      <sz val="10"/>
      <color rgb="FFFF0000"/>
      <name val="Times New Roman"/>
      <family val="1"/>
    </font>
    <font>
      <b/>
      <i/>
      <sz val="10"/>
      <color rgb="FFFF0000"/>
      <name val="Times New Roman"/>
      <family val="1"/>
    </font>
    <font>
      <sz val="10"/>
      <color theme="1"/>
      <name val="Times New Roman"/>
      <family val="1"/>
    </font>
    <font>
      <sz val="10"/>
      <name val="Arial"/>
    </font>
  </fonts>
  <fills count="8">
    <fill>
      <patternFill patternType="none"/>
    </fill>
    <fill>
      <patternFill patternType="gray125"/>
    </fill>
    <fill>
      <patternFill patternType="solid">
        <fgColor indexed="65"/>
        <bgColor indexed="64"/>
      </patternFill>
    </fill>
    <fill>
      <patternFill patternType="solid">
        <fgColor indexed="55"/>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theme="1" tint="0.49998474074526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s>
  <cellStyleXfs count="5">
    <xf numFmtId="0" fontId="0" fillId="0" borderId="0"/>
    <xf numFmtId="43" fontId="12" fillId="0" borderId="0" applyFont="0" applyFill="0" applyBorder="0" applyAlignment="0" applyProtection="0"/>
    <xf numFmtId="0" fontId="1" fillId="0" borderId="0"/>
    <xf numFmtId="9" fontId="22" fillId="0" borderId="0" applyFont="0" applyFill="0" applyBorder="0" applyAlignment="0" applyProtection="0"/>
    <xf numFmtId="0" fontId="10" fillId="0" borderId="0"/>
  </cellStyleXfs>
  <cellXfs count="215">
    <xf numFmtId="0" fontId="0" fillId="0" borderId="0" xfId="0"/>
    <xf numFmtId="0" fontId="0" fillId="0" borderId="0" xfId="0" applyFill="1"/>
    <xf numFmtId="0" fontId="2" fillId="2" borderId="3" xfId="0" applyFont="1" applyFill="1" applyBorder="1"/>
    <xf numFmtId="0" fontId="2" fillId="2" borderId="0" xfId="0" applyFont="1" applyFill="1" applyBorder="1"/>
    <xf numFmtId="0" fontId="0" fillId="2" borderId="4" xfId="0" applyFill="1" applyBorder="1"/>
    <xf numFmtId="0" fontId="0" fillId="2" borderId="5" xfId="0" applyFill="1" applyBorder="1"/>
    <xf numFmtId="0" fontId="3" fillId="0" borderId="4" xfId="0" applyFont="1" applyBorder="1" applyAlignment="1">
      <alignment horizontal="left"/>
    </xf>
    <xf numFmtId="0" fontId="4" fillId="0" borderId="6" xfId="0" applyFont="1" applyBorder="1" applyAlignment="1">
      <alignment horizontal="center" wrapText="1"/>
    </xf>
    <xf numFmtId="0" fontId="5" fillId="0" borderId="0" xfId="0" applyFont="1" applyFill="1"/>
    <xf numFmtId="0" fontId="6" fillId="3" borderId="3" xfId="0" applyFont="1" applyFill="1" applyBorder="1"/>
    <xf numFmtId="0" fontId="6" fillId="3" borderId="7" xfId="0" applyFont="1" applyFill="1" applyBorder="1"/>
    <xf numFmtId="0" fontId="7" fillId="0" borderId="3" xfId="0" applyFont="1" applyBorder="1"/>
    <xf numFmtId="3" fontId="6" fillId="3" borderId="7" xfId="0" applyNumberFormat="1" applyFont="1" applyFill="1" applyBorder="1" applyAlignment="1">
      <alignment horizontal="center"/>
    </xf>
    <xf numFmtId="0" fontId="6" fillId="0" borderId="3" xfId="0" applyFont="1" applyBorder="1"/>
    <xf numFmtId="3" fontId="6" fillId="0" borderId="7" xfId="0" applyNumberFormat="1" applyFont="1" applyBorder="1" applyAlignment="1">
      <alignment horizontal="center"/>
    </xf>
    <xf numFmtId="0" fontId="6" fillId="3" borderId="7" xfId="0" applyFont="1" applyFill="1" applyBorder="1" applyAlignment="1">
      <alignment horizontal="center"/>
    </xf>
    <xf numFmtId="0" fontId="7" fillId="0" borderId="3" xfId="0" applyFont="1" applyBorder="1" applyAlignment="1">
      <alignment wrapText="1"/>
    </xf>
    <xf numFmtId="9" fontId="6" fillId="0" borderId="7" xfId="0" applyNumberFormat="1" applyFont="1" applyBorder="1" applyAlignment="1">
      <alignment horizontal="center"/>
    </xf>
    <xf numFmtId="0" fontId="6" fillId="0" borderId="3" xfId="0" applyFont="1" applyBorder="1" applyAlignment="1">
      <alignment wrapText="1"/>
    </xf>
    <xf numFmtId="0" fontId="0" fillId="0" borderId="0" xfId="0" applyFill="1" applyAlignment="1"/>
    <xf numFmtId="0" fontId="7" fillId="0" borderId="3" xfId="0" applyFont="1" applyBorder="1" applyAlignment="1">
      <alignment vertical="top" wrapText="1"/>
    </xf>
    <xf numFmtId="0" fontId="6" fillId="3" borderId="7" xfId="0" applyFont="1" applyFill="1" applyBorder="1" applyAlignment="1">
      <alignment horizontal="center" vertical="top"/>
    </xf>
    <xf numFmtId="0" fontId="0" fillId="0" borderId="0" xfId="0" applyFill="1" applyAlignment="1">
      <alignment vertical="top"/>
    </xf>
    <xf numFmtId="1" fontId="6" fillId="0" borderId="7" xfId="0" applyNumberFormat="1" applyFont="1" applyBorder="1" applyAlignment="1">
      <alignment horizontal="center"/>
    </xf>
    <xf numFmtId="0" fontId="6" fillId="0" borderId="3" xfId="0" applyFont="1" applyBorder="1" applyAlignment="1">
      <alignment vertical="top" wrapText="1"/>
    </xf>
    <xf numFmtId="0" fontId="6" fillId="0" borderId="0" xfId="0" applyFont="1" applyFill="1" applyAlignment="1">
      <alignment vertical="top" wrapText="1"/>
    </xf>
    <xf numFmtId="9" fontId="6" fillId="0" borderId="7" xfId="0" applyNumberFormat="1" applyFont="1" applyFill="1" applyBorder="1" applyAlignment="1">
      <alignment horizontal="center"/>
    </xf>
    <xf numFmtId="0" fontId="6" fillId="3" borderId="0" xfId="0" applyFont="1" applyFill="1" applyAlignment="1">
      <alignment vertical="top" wrapText="1"/>
    </xf>
    <xf numFmtId="0" fontId="6" fillId="3" borderId="6" xfId="0" applyFont="1" applyFill="1" applyBorder="1"/>
    <xf numFmtId="0" fontId="9" fillId="0" borderId="4" xfId="0" applyFont="1" applyFill="1" applyBorder="1" applyAlignment="1">
      <alignment vertical="top" wrapText="1"/>
    </xf>
    <xf numFmtId="0" fontId="6" fillId="3" borderId="8" xfId="0" applyFont="1" applyFill="1" applyBorder="1" applyAlignment="1">
      <alignment horizontal="center"/>
    </xf>
    <xf numFmtId="0" fontId="0" fillId="0" borderId="5" xfId="0" applyFill="1" applyBorder="1"/>
    <xf numFmtId="0" fontId="11" fillId="0" borderId="0" xfId="0" applyFont="1" applyFill="1"/>
    <xf numFmtId="0" fontId="6" fillId="3" borderId="3" xfId="0" applyFont="1" applyFill="1" applyBorder="1" applyAlignment="1">
      <alignment horizontal="center"/>
    </xf>
    <xf numFmtId="43" fontId="13" fillId="0" borderId="3" xfId="1" applyFont="1" applyBorder="1" applyAlignment="1">
      <alignment wrapText="1"/>
    </xf>
    <xf numFmtId="164" fontId="6" fillId="0" borderId="7" xfId="0" applyNumberFormat="1" applyFont="1" applyBorder="1" applyAlignment="1">
      <alignment horizontal="center"/>
    </xf>
    <xf numFmtId="0" fontId="6" fillId="0" borderId="7" xfId="0" applyFont="1" applyBorder="1" applyAlignment="1">
      <alignment horizontal="center"/>
    </xf>
    <xf numFmtId="0" fontId="0" fillId="0" borderId="0" xfId="0" applyFill="1" applyBorder="1" applyAlignment="1"/>
    <xf numFmtId="0" fontId="0" fillId="0" borderId="0" xfId="0" applyFill="1" applyBorder="1"/>
    <xf numFmtId="165" fontId="6" fillId="0" borderId="7" xfId="0" applyNumberFormat="1" applyFont="1" applyBorder="1" applyAlignment="1">
      <alignment horizontal="center"/>
    </xf>
    <xf numFmtId="165" fontId="6" fillId="3" borderId="7" xfId="0" applyNumberFormat="1" applyFont="1" applyFill="1" applyBorder="1" applyAlignment="1">
      <alignment horizontal="center"/>
    </xf>
    <xf numFmtId="0" fontId="0" fillId="3" borderId="0" xfId="0" applyFill="1"/>
    <xf numFmtId="0" fontId="14" fillId="0" borderId="0" xfId="0" applyFont="1" applyFill="1"/>
    <xf numFmtId="0" fontId="9" fillId="0" borderId="9" xfId="0" applyFont="1" applyBorder="1" applyAlignment="1">
      <alignment vertical="top" wrapText="1"/>
    </xf>
    <xf numFmtId="0" fontId="6" fillId="3" borderId="8" xfId="0" applyFont="1" applyFill="1" applyBorder="1" applyAlignment="1">
      <alignment vertical="top" wrapText="1"/>
    </xf>
    <xf numFmtId="0" fontId="0" fillId="0" borderId="10" xfId="0" applyFill="1" applyBorder="1"/>
    <xf numFmtId="0" fontId="0" fillId="0" borderId="0" xfId="0" applyNumberFormat="1" applyFill="1" applyAlignment="1">
      <alignment wrapText="1"/>
    </xf>
    <xf numFmtId="0" fontId="0" fillId="0" borderId="0" xfId="0" applyFill="1" applyAlignment="1">
      <alignment horizontal="center"/>
    </xf>
    <xf numFmtId="0" fontId="12" fillId="0" borderId="0" xfId="0" applyFont="1" applyFill="1"/>
    <xf numFmtId="0" fontId="6" fillId="0" borderId="0" xfId="0" applyFont="1"/>
    <xf numFmtId="0" fontId="5" fillId="0" borderId="0" xfId="0" applyFont="1" applyFill="1" applyAlignment="1"/>
    <xf numFmtId="0" fontId="7" fillId="0" borderId="3" xfId="0" applyFont="1" applyBorder="1" applyAlignment="1"/>
    <xf numFmtId="0" fontId="6" fillId="0" borderId="3" xfId="0" applyFont="1" applyBorder="1" applyAlignment="1"/>
    <xf numFmtId="1" fontId="6" fillId="0" borderId="3" xfId="0" applyNumberFormat="1" applyFont="1" applyBorder="1" applyAlignment="1"/>
    <xf numFmtId="1" fontId="0" fillId="0" borderId="0" xfId="0" applyNumberFormat="1" applyFill="1" applyAlignment="1"/>
    <xf numFmtId="2" fontId="6" fillId="0" borderId="3" xfId="0" applyNumberFormat="1" applyFont="1" applyBorder="1" applyAlignment="1"/>
    <xf numFmtId="2" fontId="0" fillId="0" borderId="0" xfId="0" applyNumberFormat="1" applyFill="1" applyAlignment="1"/>
    <xf numFmtId="0" fontId="6" fillId="3" borderId="3" xfId="0" applyFont="1" applyFill="1" applyBorder="1" applyAlignment="1"/>
    <xf numFmtId="166" fontId="6" fillId="0" borderId="7" xfId="0" applyNumberFormat="1" applyFont="1" applyBorder="1" applyAlignment="1">
      <alignment horizontal="center"/>
    </xf>
    <xf numFmtId="166" fontId="6" fillId="3" borderId="7" xfId="0" applyNumberFormat="1" applyFont="1" applyFill="1" applyBorder="1" applyAlignment="1">
      <alignment horizontal="center"/>
    </xf>
    <xf numFmtId="49" fontId="6" fillId="0" borderId="7" xfId="0" applyNumberFormat="1" applyFont="1" applyBorder="1" applyAlignment="1">
      <alignment horizontal="center"/>
    </xf>
    <xf numFmtId="0" fontId="6" fillId="0" borderId="7" xfId="0" applyFont="1" applyFill="1" applyBorder="1" applyAlignment="1">
      <alignment horizontal="center"/>
    </xf>
    <xf numFmtId="1" fontId="0" fillId="0" borderId="0" xfId="0" applyNumberFormat="1" applyFill="1" applyBorder="1" applyAlignment="1"/>
    <xf numFmtId="10" fontId="6" fillId="3" borderId="7" xfId="0" applyNumberFormat="1" applyFont="1" applyFill="1" applyBorder="1" applyAlignment="1">
      <alignment horizontal="center"/>
    </xf>
    <xf numFmtId="0" fontId="16" fillId="0" borderId="0" xfId="0" applyFont="1" applyFill="1" applyAlignment="1"/>
    <xf numFmtId="46" fontId="6" fillId="0" borderId="7" xfId="0" applyNumberFormat="1" applyFont="1" applyBorder="1" applyAlignment="1">
      <alignment horizontal="center"/>
    </xf>
    <xf numFmtId="0" fontId="6" fillId="3" borderId="6" xfId="0" applyFont="1" applyFill="1" applyBorder="1" applyAlignment="1"/>
    <xf numFmtId="0" fontId="9" fillId="0" borderId="4" xfId="0" applyFont="1" applyBorder="1" applyAlignment="1">
      <alignment wrapText="1"/>
    </xf>
    <xf numFmtId="0" fontId="6" fillId="3" borderId="8" xfId="0" applyFont="1" applyFill="1" applyBorder="1" applyAlignment="1">
      <alignment wrapText="1"/>
    </xf>
    <xf numFmtId="0" fontId="0" fillId="0" borderId="5" xfId="0" applyFill="1" applyBorder="1" applyAlignment="1"/>
    <xf numFmtId="0" fontId="0" fillId="0" borderId="0" xfId="0" applyAlignment="1"/>
    <xf numFmtId="0" fontId="10" fillId="0" borderId="0" xfId="0" applyFont="1" applyFill="1" applyAlignment="1"/>
    <xf numFmtId="166" fontId="7" fillId="3" borderId="7" xfId="0" applyNumberFormat="1" applyFont="1" applyFill="1" applyBorder="1" applyAlignment="1">
      <alignment horizontal="center"/>
    </xf>
    <xf numFmtId="0" fontId="6" fillId="0" borderId="7" xfId="0" applyFont="1" applyBorder="1"/>
    <xf numFmtId="0" fontId="9" fillId="0" borderId="3" xfId="0" applyFont="1" applyBorder="1"/>
    <xf numFmtId="166" fontId="6" fillId="0" borderId="0" xfId="0" applyNumberFormat="1" applyFont="1" applyAlignment="1">
      <alignment horizontal="center"/>
    </xf>
    <xf numFmtId="9" fontId="6" fillId="0" borderId="0" xfId="0" applyNumberFormat="1" applyFont="1" applyAlignment="1">
      <alignment horizontal="center"/>
    </xf>
    <xf numFmtId="9" fontId="6" fillId="0" borderId="11" xfId="0" applyNumberFormat="1" applyFont="1" applyBorder="1" applyAlignment="1">
      <alignment horizontal="center"/>
    </xf>
    <xf numFmtId="0" fontId="6" fillId="0" borderId="7" xfId="0" applyFont="1" applyBorder="1" applyAlignment="1">
      <alignment wrapText="1"/>
    </xf>
    <xf numFmtId="6" fontId="6" fillId="0" borderId="0" xfId="0" applyNumberFormat="1" applyFont="1" applyAlignment="1">
      <alignment horizontal="center"/>
    </xf>
    <xf numFmtId="0" fontId="16" fillId="0" borderId="0" xfId="0" applyFont="1" applyFill="1"/>
    <xf numFmtId="0" fontId="6" fillId="3" borderId="12" xfId="0" applyFont="1" applyFill="1" applyBorder="1"/>
    <xf numFmtId="0" fontId="10" fillId="0" borderId="0" xfId="0" applyFont="1" applyFill="1"/>
    <xf numFmtId="0" fontId="3" fillId="3" borderId="3" xfId="0" applyFont="1" applyFill="1" applyBorder="1" applyAlignment="1">
      <alignment horizontal="left"/>
    </xf>
    <xf numFmtId="0" fontId="4" fillId="3" borderId="7" xfId="0" applyFont="1" applyFill="1" applyBorder="1" applyAlignment="1">
      <alignment horizontal="center" wrapText="1"/>
    </xf>
    <xf numFmtId="166" fontId="0" fillId="0" borderId="0" xfId="0" applyNumberFormat="1" applyFill="1" applyAlignment="1"/>
    <xf numFmtId="3" fontId="6" fillId="0" borderId="3" xfId="0" applyNumberFormat="1" applyFont="1" applyBorder="1" applyAlignment="1">
      <alignment wrapText="1"/>
    </xf>
    <xf numFmtId="3" fontId="0" fillId="0" borderId="0" xfId="0" applyNumberFormat="1" applyFill="1" applyAlignment="1"/>
    <xf numFmtId="0" fontId="16" fillId="0" borderId="5" xfId="0" applyFont="1" applyFill="1" applyBorder="1" applyAlignment="1"/>
    <xf numFmtId="165" fontId="6" fillId="0" borderId="3" xfId="0" applyNumberFormat="1" applyFont="1" applyBorder="1"/>
    <xf numFmtId="165" fontId="0" fillId="0" borderId="0" xfId="0" applyNumberFormat="1" applyFill="1"/>
    <xf numFmtId="0" fontId="6" fillId="3" borderId="5" xfId="0" applyFont="1" applyFill="1" applyBorder="1"/>
    <xf numFmtId="0" fontId="9" fillId="0" borderId="8" xfId="0" applyFont="1" applyBorder="1" applyAlignment="1">
      <alignment vertical="top" wrapText="1"/>
    </xf>
    <xf numFmtId="0" fontId="0" fillId="0" borderId="0" xfId="0" applyAlignment="1">
      <alignment horizontal="center"/>
    </xf>
    <xf numFmtId="0" fontId="6" fillId="0" borderId="0" xfId="0" applyFont="1" applyAlignment="1">
      <alignment horizontal="center"/>
    </xf>
    <xf numFmtId="0" fontId="9" fillId="0" borderId="8" xfId="0" applyFont="1" applyBorder="1" applyAlignment="1">
      <alignment wrapText="1"/>
    </xf>
    <xf numFmtId="0" fontId="9" fillId="0" borderId="13" xfId="0" applyFont="1" applyFill="1" applyBorder="1" applyAlignment="1">
      <alignment wrapText="1"/>
    </xf>
    <xf numFmtId="0" fontId="9" fillId="0" borderId="8" xfId="0" applyFont="1" applyFill="1" applyBorder="1" applyAlignment="1">
      <alignment wrapText="1"/>
    </xf>
    <xf numFmtId="0" fontId="19" fillId="3" borderId="7" xfId="0" applyFont="1" applyFill="1" applyBorder="1" applyAlignment="1">
      <alignment horizontal="center"/>
    </xf>
    <xf numFmtId="0" fontId="4" fillId="0" borderId="8" xfId="0" applyFont="1" applyBorder="1" applyAlignment="1">
      <alignment horizontal="center" wrapText="1"/>
    </xf>
    <xf numFmtId="0" fontId="19" fillId="3" borderId="7" xfId="0" applyFont="1" applyFill="1" applyBorder="1" applyAlignment="1">
      <alignment horizontal="center" vertical="top"/>
    </xf>
    <xf numFmtId="10" fontId="6" fillId="0" borderId="7" xfId="0" applyNumberFormat="1" applyFont="1" applyFill="1" applyBorder="1" applyAlignment="1">
      <alignment horizontal="center"/>
    </xf>
    <xf numFmtId="0" fontId="19" fillId="3" borderId="8" xfId="0" applyFont="1" applyFill="1" applyBorder="1" applyAlignment="1">
      <alignment horizontal="center"/>
    </xf>
    <xf numFmtId="2" fontId="6" fillId="0" borderId="7" xfId="0" applyNumberFormat="1" applyFont="1" applyBorder="1" applyAlignment="1">
      <alignment horizontal="center"/>
    </xf>
    <xf numFmtId="10" fontId="19" fillId="3" borderId="7" xfId="0" applyNumberFormat="1" applyFont="1" applyFill="1" applyBorder="1" applyAlignment="1">
      <alignment horizontal="center"/>
    </xf>
    <xf numFmtId="0" fontId="19" fillId="3" borderId="6" xfId="0" applyFont="1" applyFill="1" applyBorder="1" applyAlignment="1"/>
    <xf numFmtId="0" fontId="19" fillId="3" borderId="8" xfId="0" applyFont="1" applyFill="1" applyBorder="1" applyAlignment="1">
      <alignment wrapText="1"/>
    </xf>
    <xf numFmtId="166" fontId="20" fillId="3" borderId="7" xfId="0" applyNumberFormat="1" applyFont="1" applyFill="1" applyBorder="1" applyAlignment="1">
      <alignment horizontal="center"/>
    </xf>
    <xf numFmtId="166" fontId="21" fillId="0" borderId="7" xfId="0" applyNumberFormat="1" applyFont="1" applyBorder="1" applyAlignment="1">
      <alignment horizontal="center"/>
    </xf>
    <xf numFmtId="166" fontId="19" fillId="3" borderId="7" xfId="0" applyNumberFormat="1" applyFont="1" applyFill="1" applyBorder="1" applyAlignment="1">
      <alignment horizontal="center"/>
    </xf>
    <xf numFmtId="0" fontId="19" fillId="3" borderId="6" xfId="0" applyFont="1" applyFill="1" applyBorder="1"/>
    <xf numFmtId="0" fontId="6" fillId="4" borderId="7" xfId="0" applyFont="1" applyFill="1" applyBorder="1" applyAlignment="1">
      <alignment horizontal="center"/>
    </xf>
    <xf numFmtId="3" fontId="21" fillId="0" borderId="7" xfId="0" applyNumberFormat="1" applyFont="1" applyBorder="1" applyAlignment="1">
      <alignment horizontal="center"/>
    </xf>
    <xf numFmtId="165" fontId="21" fillId="0" borderId="7" xfId="0" applyNumberFormat="1" applyFont="1" applyBorder="1" applyAlignment="1">
      <alignment horizontal="center"/>
    </xf>
    <xf numFmtId="164" fontId="6" fillId="0" borderId="7" xfId="0" applyNumberFormat="1" applyFont="1" applyFill="1" applyBorder="1" applyAlignment="1">
      <alignment horizontal="center"/>
    </xf>
    <xf numFmtId="166" fontId="6" fillId="0" borderId="7" xfId="0" applyNumberFormat="1" applyFont="1" applyFill="1" applyBorder="1" applyAlignment="1">
      <alignment horizontal="center"/>
    </xf>
    <xf numFmtId="49" fontId="6" fillId="0" borderId="7" xfId="0" applyNumberFormat="1" applyFont="1" applyFill="1" applyBorder="1" applyAlignment="1">
      <alignment horizontal="center"/>
    </xf>
    <xf numFmtId="166" fontId="6" fillId="0" borderId="0" xfId="0" applyNumberFormat="1" applyFont="1" applyFill="1" applyAlignment="1">
      <alignment horizontal="center"/>
    </xf>
    <xf numFmtId="9" fontId="6" fillId="0" borderId="11" xfId="0" applyNumberFormat="1" applyFont="1" applyFill="1" applyBorder="1" applyAlignment="1">
      <alignment horizontal="center"/>
    </xf>
    <xf numFmtId="6" fontId="6" fillId="0" borderId="0" xfId="0" applyNumberFormat="1" applyFont="1" applyFill="1" applyAlignment="1">
      <alignment horizontal="center"/>
    </xf>
    <xf numFmtId="3" fontId="6" fillId="0" borderId="7" xfId="0" applyNumberFormat="1" applyFont="1" applyFill="1" applyBorder="1" applyAlignment="1">
      <alignment horizontal="center"/>
    </xf>
    <xf numFmtId="0" fontId="6" fillId="0" borderId="7" xfId="0" applyNumberFormat="1" applyFont="1" applyFill="1" applyBorder="1" applyAlignment="1">
      <alignment horizontal="center"/>
    </xf>
    <xf numFmtId="49" fontId="6" fillId="0" borderId="7" xfId="0" quotePrefix="1" applyNumberFormat="1" applyFont="1" applyBorder="1" applyAlignment="1">
      <alignment horizontal="center"/>
    </xf>
    <xf numFmtId="9" fontId="6" fillId="0" borderId="7" xfId="0" applyNumberFormat="1" applyFont="1" applyBorder="1" applyAlignment="1">
      <alignment horizontal="center" vertical="center"/>
    </xf>
    <xf numFmtId="1" fontId="6" fillId="0" borderId="7" xfId="0" applyNumberFormat="1" applyFont="1" applyFill="1" applyBorder="1" applyAlignment="1">
      <alignment horizontal="center"/>
    </xf>
    <xf numFmtId="167" fontId="6" fillId="0" borderId="7" xfId="0" applyNumberFormat="1" applyFont="1" applyBorder="1" applyAlignment="1">
      <alignment horizontal="center"/>
    </xf>
    <xf numFmtId="0" fontId="6" fillId="0" borderId="7" xfId="0" applyNumberFormat="1" applyFont="1" applyBorder="1" applyAlignment="1">
      <alignment horizontal="center"/>
    </xf>
    <xf numFmtId="165" fontId="6" fillId="0" borderId="7" xfId="0" applyNumberFormat="1" applyFont="1" applyFill="1" applyBorder="1" applyAlignment="1">
      <alignment horizontal="center"/>
    </xf>
    <xf numFmtId="46" fontId="6" fillId="0" borderId="7" xfId="0" applyNumberFormat="1" applyFont="1" applyFill="1" applyBorder="1" applyAlignment="1">
      <alignment horizontal="center"/>
    </xf>
    <xf numFmtId="0" fontId="6" fillId="3" borderId="7" xfId="0" applyFont="1" applyFill="1" applyBorder="1" applyAlignment="1">
      <alignment horizontal="center" vertical="center"/>
    </xf>
    <xf numFmtId="0" fontId="6" fillId="5" borderId="7" xfId="0" applyFont="1" applyFill="1" applyBorder="1" applyAlignment="1">
      <alignment horizontal="center"/>
    </xf>
    <xf numFmtId="9" fontId="6" fillId="0" borderId="7" xfId="0" quotePrefix="1" applyNumberFormat="1" applyFont="1" applyBorder="1" applyAlignment="1">
      <alignment horizontal="center"/>
    </xf>
    <xf numFmtId="166" fontId="6" fillId="0" borderId="7" xfId="0" quotePrefix="1" applyNumberFormat="1" applyFont="1" applyBorder="1" applyAlignment="1">
      <alignment horizontal="center"/>
    </xf>
    <xf numFmtId="0" fontId="21" fillId="3" borderId="7" xfId="0" applyFont="1" applyFill="1" applyBorder="1" applyAlignment="1">
      <alignment horizontal="center"/>
    </xf>
    <xf numFmtId="9" fontId="21" fillId="0" borderId="7" xfId="0" applyNumberFormat="1" applyFont="1" applyBorder="1" applyAlignment="1">
      <alignment horizontal="center"/>
    </xf>
    <xf numFmtId="166" fontId="21" fillId="3" borderId="7" xfId="0" applyNumberFormat="1" applyFont="1" applyFill="1" applyBorder="1" applyAlignment="1">
      <alignment horizontal="center"/>
    </xf>
    <xf numFmtId="0" fontId="21" fillId="3" borderId="5" xfId="0" applyFont="1" applyFill="1" applyBorder="1"/>
    <xf numFmtId="9" fontId="6" fillId="0" borderId="7" xfId="3" applyFont="1" applyBorder="1" applyAlignment="1">
      <alignment horizontal="center"/>
    </xf>
    <xf numFmtId="3" fontId="6" fillId="0" borderId="7" xfId="0" applyNumberFormat="1" applyFont="1" applyBorder="1" applyAlignment="1">
      <alignment horizontal="center" vertical="center"/>
    </xf>
    <xf numFmtId="1" fontId="6" fillId="0" borderId="7" xfId="0" applyNumberFormat="1" applyFont="1" applyBorder="1" applyAlignment="1">
      <alignment horizontal="center" vertical="center"/>
    </xf>
    <xf numFmtId="165" fontId="6" fillId="0" borderId="7" xfId="0" applyNumberFormat="1" applyFont="1" applyBorder="1" applyAlignment="1">
      <alignment horizontal="center" vertical="center"/>
    </xf>
    <xf numFmtId="164" fontId="6" fillId="0" borderId="7" xfId="0" applyNumberFormat="1" applyFont="1" applyBorder="1" applyAlignment="1">
      <alignment horizontal="center" vertical="center"/>
    </xf>
    <xf numFmtId="0" fontId="6" fillId="3" borderId="7" xfId="0" applyFont="1" applyFill="1" applyBorder="1" applyAlignment="1">
      <alignment vertical="center"/>
    </xf>
    <xf numFmtId="3" fontId="6" fillId="3" borderId="7" xfId="0" applyNumberFormat="1" applyFont="1" applyFill="1" applyBorder="1" applyAlignment="1">
      <alignment horizontal="center" vertical="center"/>
    </xf>
    <xf numFmtId="0" fontId="6" fillId="3" borderId="8" xfId="0" applyFont="1" applyFill="1" applyBorder="1" applyAlignment="1">
      <alignment horizontal="center" vertical="center"/>
    </xf>
    <xf numFmtId="166" fontId="6" fillId="0" borderId="7" xfId="0" applyNumberFormat="1" applyFont="1" applyBorder="1" applyAlignment="1">
      <alignment horizontal="center" vertical="center"/>
    </xf>
    <xf numFmtId="166" fontId="6" fillId="3" borderId="7" xfId="0" applyNumberFormat="1" applyFont="1" applyFill="1" applyBorder="1" applyAlignment="1">
      <alignment horizontal="center" vertical="center"/>
    </xf>
    <xf numFmtId="0" fontId="6" fillId="0" borderId="7" xfId="0" applyFont="1" applyBorder="1" applyAlignment="1">
      <alignment horizontal="center" vertical="center"/>
    </xf>
    <xf numFmtId="0" fontId="6" fillId="0" borderId="0" xfId="0" applyFont="1" applyFill="1" applyAlignment="1">
      <alignment horizontal="center"/>
    </xf>
    <xf numFmtId="166" fontId="6" fillId="0" borderId="7" xfId="4" applyNumberFormat="1" applyFont="1" applyFill="1" applyBorder="1" applyAlignment="1">
      <alignment horizontal="center"/>
    </xf>
    <xf numFmtId="0" fontId="0" fillId="7" borderId="3" xfId="0" applyFill="1" applyBorder="1"/>
    <xf numFmtId="0" fontId="0" fillId="7" borderId="3" xfId="0" applyFill="1" applyBorder="1" applyAlignment="1"/>
    <xf numFmtId="0" fontId="0" fillId="7" borderId="3" xfId="0" applyFill="1" applyBorder="1" applyAlignment="1">
      <alignment vertical="top"/>
    </xf>
    <xf numFmtId="0" fontId="14" fillId="7" borderId="3" xfId="0" applyFont="1" applyFill="1" applyBorder="1"/>
    <xf numFmtId="0" fontId="0" fillId="7" borderId="9" xfId="0" applyFill="1" applyBorder="1"/>
    <xf numFmtId="0" fontId="11" fillId="7" borderId="0" xfId="0" applyFont="1" applyFill="1"/>
    <xf numFmtId="0" fontId="6" fillId="0" borderId="7" xfId="0" quotePrefix="1" applyFont="1" applyBorder="1" applyAlignment="1">
      <alignment horizontal="center"/>
    </xf>
    <xf numFmtId="0" fontId="5" fillId="7" borderId="0" xfId="0" applyFont="1" applyFill="1"/>
    <xf numFmtId="0" fontId="0" fillId="7" borderId="0" xfId="0" applyFill="1"/>
    <xf numFmtId="0" fontId="0" fillId="7" borderId="0" xfId="0" applyFill="1" applyAlignment="1"/>
    <xf numFmtId="0" fontId="0" fillId="7" borderId="0" xfId="0" applyFill="1" applyAlignment="1">
      <alignment vertical="top"/>
    </xf>
    <xf numFmtId="0" fontId="0" fillId="7" borderId="5" xfId="0" applyFill="1" applyBorder="1"/>
    <xf numFmtId="0" fontId="0" fillId="5" borderId="0" xfId="0" applyFill="1"/>
    <xf numFmtId="1" fontId="10" fillId="0" borderId="0" xfId="0" applyNumberFormat="1" applyFont="1" applyFill="1" applyAlignment="1"/>
    <xf numFmtId="166" fontId="0" fillId="0" borderId="0" xfId="0" applyNumberFormat="1" applyFill="1"/>
    <xf numFmtId="166" fontId="6" fillId="0" borderId="0" xfId="0" applyNumberFormat="1" applyFont="1" applyFill="1" applyBorder="1" applyAlignment="1">
      <alignment horizontal="center"/>
    </xf>
    <xf numFmtId="9" fontId="6" fillId="0" borderId="0" xfId="0" applyNumberFormat="1" applyFont="1" applyFill="1" applyBorder="1" applyAlignment="1">
      <alignment horizontal="center"/>
    </xf>
    <xf numFmtId="0" fontId="0" fillId="0" borderId="0" xfId="0" applyNumberFormat="1" applyFill="1" applyAlignment="1"/>
    <xf numFmtId="3" fontId="6" fillId="0" borderId="3" xfId="0" applyNumberFormat="1" applyFont="1" applyBorder="1" applyAlignment="1">
      <alignment horizontal="center"/>
    </xf>
    <xf numFmtId="165" fontId="6" fillId="0" borderId="3" xfId="0" applyNumberFormat="1" applyFont="1" applyBorder="1" applyAlignment="1">
      <alignment horizontal="center"/>
    </xf>
    <xf numFmtId="166" fontId="6" fillId="3" borderId="3" xfId="0" applyNumberFormat="1" applyFont="1" applyFill="1" applyBorder="1" applyAlignment="1">
      <alignment horizontal="center"/>
    </xf>
    <xf numFmtId="166" fontId="6" fillId="0" borderId="3" xfId="0" applyNumberFormat="1" applyFont="1" applyBorder="1" applyAlignment="1">
      <alignment horizontal="center"/>
    </xf>
    <xf numFmtId="0" fontId="6" fillId="3" borderId="9" xfId="0" applyFont="1" applyFill="1" applyBorder="1" applyAlignment="1">
      <alignment vertical="top" wrapText="1"/>
    </xf>
    <xf numFmtId="0" fontId="6" fillId="3" borderId="0" xfId="0" applyFont="1" applyFill="1" applyBorder="1" applyAlignment="1">
      <alignment vertical="top" wrapText="1"/>
    </xf>
    <xf numFmtId="0" fontId="6" fillId="6" borderId="3" xfId="0" applyFont="1" applyFill="1" applyBorder="1" applyAlignment="1">
      <alignment wrapText="1"/>
    </xf>
    <xf numFmtId="9" fontId="0" fillId="0" borderId="0" xfId="0" applyNumberFormat="1" applyFill="1" applyAlignment="1">
      <alignment horizontal="center"/>
    </xf>
    <xf numFmtId="1" fontId="0" fillId="0" borderId="0" xfId="0" applyNumberFormat="1" applyFill="1" applyAlignment="1">
      <alignment horizontal="center"/>
    </xf>
    <xf numFmtId="2" fontId="0" fillId="0" borderId="0" xfId="0" applyNumberFormat="1" applyFill="1" applyAlignment="1">
      <alignment horizontal="center"/>
    </xf>
    <xf numFmtId="166" fontId="0" fillId="0" borderId="0" xfId="0" applyNumberFormat="1" applyFill="1" applyAlignment="1">
      <alignment horizontal="center"/>
    </xf>
    <xf numFmtId="164" fontId="0" fillId="0" borderId="0" xfId="0" applyNumberFormat="1" applyFill="1" applyAlignment="1">
      <alignment horizontal="center"/>
    </xf>
    <xf numFmtId="0" fontId="0" fillId="0" borderId="0" xfId="0" applyFill="1" applyBorder="1" applyAlignment="1">
      <alignment horizontal="center"/>
    </xf>
    <xf numFmtId="1" fontId="0" fillId="0" borderId="0" xfId="0" applyNumberFormat="1" applyFill="1" applyBorder="1" applyAlignment="1">
      <alignment horizontal="center"/>
    </xf>
    <xf numFmtId="3" fontId="6" fillId="0" borderId="0" xfId="0" applyNumberFormat="1" applyFont="1" applyFill="1" applyAlignment="1">
      <alignment horizontal="center"/>
    </xf>
    <xf numFmtId="165" fontId="6" fillId="0" borderId="0" xfId="0" applyNumberFormat="1" applyFont="1" applyFill="1" applyAlignment="1">
      <alignment horizontal="center"/>
    </xf>
    <xf numFmtId="0" fontId="6" fillId="4" borderId="7" xfId="0" applyNumberFormat="1" applyFont="1" applyFill="1" applyBorder="1" applyAlignment="1">
      <alignment horizontal="center"/>
    </xf>
    <xf numFmtId="0" fontId="6" fillId="4" borderId="7" xfId="3" applyNumberFormat="1" applyFont="1" applyFill="1" applyBorder="1" applyAlignment="1">
      <alignment horizontal="center"/>
    </xf>
    <xf numFmtId="43" fontId="13" fillId="0" borderId="3" xfId="1" applyFont="1" applyFill="1" applyBorder="1" applyAlignment="1">
      <alignment wrapText="1"/>
    </xf>
    <xf numFmtId="0" fontId="9" fillId="0" borderId="8" xfId="0" applyFont="1" applyBorder="1" applyAlignment="1">
      <alignment horizontal="center" wrapText="1"/>
    </xf>
    <xf numFmtId="0" fontId="10" fillId="5" borderId="8" xfId="0" applyFont="1" applyFill="1" applyBorder="1"/>
    <xf numFmtId="0" fontId="10" fillId="5" borderId="7" xfId="0" applyFont="1" applyFill="1" applyBorder="1" applyAlignment="1">
      <alignment horizontal="center"/>
    </xf>
    <xf numFmtId="3" fontId="6" fillId="0" borderId="7" xfId="0" applyNumberFormat="1" applyFont="1" applyFill="1" applyBorder="1"/>
    <xf numFmtId="167" fontId="6" fillId="0" borderId="7" xfId="0" applyNumberFormat="1" applyFont="1" applyFill="1" applyBorder="1"/>
    <xf numFmtId="167" fontId="6" fillId="0" borderId="7" xfId="0" applyNumberFormat="1" applyFont="1" applyFill="1" applyBorder="1" applyAlignment="1">
      <alignment horizontal="center"/>
    </xf>
    <xf numFmtId="20" fontId="6" fillId="0" borderId="7" xfId="0" applyNumberFormat="1" applyFont="1" applyFill="1" applyBorder="1" applyAlignment="1">
      <alignment horizontal="center"/>
    </xf>
    <xf numFmtId="2" fontId="6" fillId="0" borderId="7" xfId="0" quotePrefix="1" applyNumberFormat="1" applyFont="1" applyFill="1" applyBorder="1" applyAlignment="1">
      <alignment horizontal="center"/>
    </xf>
    <xf numFmtId="6" fontId="6" fillId="0" borderId="7" xfId="0" applyNumberFormat="1" applyFont="1" applyBorder="1" applyAlignment="1">
      <alignment horizontal="center"/>
    </xf>
    <xf numFmtId="0" fontId="6" fillId="0" borderId="7" xfId="3" applyNumberFormat="1" applyFont="1" applyBorder="1" applyAlignment="1">
      <alignment horizontal="center"/>
    </xf>
    <xf numFmtId="168" fontId="6" fillId="0" borderId="7" xfId="0" applyNumberFormat="1" applyFont="1" applyFill="1" applyBorder="1" applyAlignment="1">
      <alignment horizontal="center"/>
    </xf>
    <xf numFmtId="168" fontId="6" fillId="0" borderId="7" xfId="0" applyNumberFormat="1" applyFont="1" applyBorder="1" applyAlignment="1">
      <alignment horizontal="center"/>
    </xf>
    <xf numFmtId="0" fontId="6" fillId="3" borderId="7" xfId="0" applyFont="1" applyFill="1" applyBorder="1" applyAlignment="1"/>
    <xf numFmtId="166" fontId="6" fillId="0" borderId="7" xfId="2" applyNumberFormat="1" applyFont="1" applyBorder="1" applyAlignment="1">
      <alignment horizontal="center"/>
    </xf>
    <xf numFmtId="9" fontId="6" fillId="0" borderId="7" xfId="2" applyNumberFormat="1" applyFont="1" applyBorder="1" applyAlignment="1">
      <alignment horizontal="center"/>
    </xf>
    <xf numFmtId="6" fontId="6" fillId="0" borderId="7" xfId="0" applyNumberFormat="1" applyFont="1" applyBorder="1" applyAlignment="1">
      <alignment horizontal="center" vertical="center"/>
    </xf>
    <xf numFmtId="6" fontId="6" fillId="0" borderId="7" xfId="2" applyNumberFormat="1" applyFont="1" applyBorder="1" applyAlignment="1">
      <alignment horizontal="center"/>
    </xf>
    <xf numFmtId="6" fontId="21" fillId="0" borderId="7" xfId="0" applyNumberFormat="1" applyFont="1" applyBorder="1" applyAlignment="1">
      <alignment horizontal="center"/>
    </xf>
    <xf numFmtId="6" fontId="6" fillId="0" borderId="7" xfId="0" applyNumberFormat="1" applyFont="1" applyFill="1" applyBorder="1" applyAlignment="1">
      <alignment horizontal="center"/>
    </xf>
    <xf numFmtId="6" fontId="6" fillId="0" borderId="0" xfId="0" applyNumberFormat="1" applyFont="1" applyBorder="1"/>
    <xf numFmtId="2" fontId="6" fillId="0" borderId="0" xfId="0" applyNumberFormat="1" applyFont="1" applyFill="1" applyAlignment="1">
      <alignment horizontal="center"/>
    </xf>
    <xf numFmtId="167" fontId="6" fillId="0" borderId="0" xfId="0" applyNumberFormat="1" applyFont="1" applyFill="1" applyAlignment="1">
      <alignment horizontal="center"/>
    </xf>
    <xf numFmtId="9" fontId="6" fillId="0" borderId="0" xfId="0" applyNumberFormat="1" applyFont="1" applyFill="1" applyAlignment="1">
      <alignment horizontal="center"/>
    </xf>
    <xf numFmtId="1" fontId="6" fillId="0" borderId="0" xfId="0" applyNumberFormat="1" applyFont="1" applyFill="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0" xfId="0" applyFont="1" applyFill="1" applyBorder="1" applyAlignment="1">
      <alignment horizontal="center"/>
    </xf>
  </cellXfs>
  <cellStyles count="5">
    <cellStyle name="Comma 2" xfId="1"/>
    <cellStyle name="Normal" xfId="0" builtinId="0"/>
    <cellStyle name="Normal 2" xfId="2"/>
    <cellStyle name="Normal 3" xfId="4"/>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1"/>
  <sheetViews>
    <sheetView tabSelected="1" zoomScaleNormal="100" workbookViewId="0">
      <selection sqref="A1:D1"/>
    </sheetView>
  </sheetViews>
  <sheetFormatPr defaultRowHeight="12.75" x14ac:dyDescent="0.2"/>
  <cols>
    <col min="1" max="1" width="51" customWidth="1"/>
    <col min="2" max="2" width="11" customWidth="1"/>
    <col min="3" max="3" width="9.140625" customWidth="1"/>
    <col min="4" max="4" width="10.42578125" customWidth="1"/>
    <col min="5" max="5" width="9.140625" style="1" customWidth="1"/>
    <col min="6" max="8" width="9.140625" style="1"/>
    <col min="9" max="9" width="9.7109375" style="1" customWidth="1"/>
    <col min="10" max="19" width="9.140625" style="1"/>
    <col min="20" max="20" width="10.5703125" style="1" customWidth="1"/>
    <col min="21" max="21" width="10.28515625" style="1" customWidth="1"/>
    <col min="22" max="22" width="9.85546875" style="1" customWidth="1"/>
    <col min="23" max="27" width="9.140625" style="1"/>
    <col min="28" max="28" width="8.7109375" style="1" customWidth="1"/>
    <col min="29" max="29" width="2.7109375" style="1" customWidth="1"/>
    <col min="30" max="30" width="10.7109375" style="1" customWidth="1"/>
    <col min="31" max="16384" width="9.140625" style="1"/>
  </cols>
  <sheetData>
    <row r="1" spans="1:32" customFormat="1" ht="20.25" customHeight="1" x14ac:dyDescent="0.3">
      <c r="A1" s="211" t="s">
        <v>15</v>
      </c>
      <c r="B1" s="212"/>
      <c r="C1" s="212"/>
      <c r="D1" s="212"/>
    </row>
    <row r="2" spans="1:32" customFormat="1" ht="18.75" x14ac:dyDescent="0.3">
      <c r="A2" s="213" t="s">
        <v>156</v>
      </c>
      <c r="B2" s="214"/>
      <c r="C2" s="214"/>
      <c r="D2" s="214"/>
    </row>
    <row r="3" spans="1:32" customFormat="1" ht="9.75" customHeight="1" x14ac:dyDescent="0.3">
      <c r="A3" s="2"/>
      <c r="B3" s="3"/>
      <c r="C3" s="3"/>
      <c r="D3" s="3"/>
    </row>
    <row r="4" spans="1:32" customFormat="1" ht="16.5" customHeight="1" x14ac:dyDescent="0.3">
      <c r="A4" s="213" t="s">
        <v>16</v>
      </c>
      <c r="B4" s="214"/>
      <c r="C4" s="214"/>
      <c r="D4" s="214"/>
    </row>
    <row r="5" spans="1:32" customFormat="1" ht="7.5" customHeight="1" x14ac:dyDescent="0.2">
      <c r="A5" s="4"/>
      <c r="B5" s="5"/>
      <c r="C5" s="5"/>
      <c r="D5" s="5"/>
    </row>
    <row r="6" spans="1:32" s="32" customFormat="1" ht="77.25" x14ac:dyDescent="0.25">
      <c r="A6" s="6" t="s">
        <v>2</v>
      </c>
      <c r="B6" s="7" t="s">
        <v>193</v>
      </c>
      <c r="C6" s="7" t="s">
        <v>194</v>
      </c>
      <c r="D6" s="99" t="s">
        <v>195</v>
      </c>
      <c r="E6" s="99" t="s">
        <v>196</v>
      </c>
      <c r="F6" s="99" t="s">
        <v>197</v>
      </c>
      <c r="G6" s="99" t="s">
        <v>198</v>
      </c>
      <c r="H6" s="99" t="s">
        <v>199</v>
      </c>
      <c r="I6" s="99" t="s">
        <v>200</v>
      </c>
      <c r="J6" s="99" t="s">
        <v>201</v>
      </c>
      <c r="K6" s="99" t="s">
        <v>202</v>
      </c>
      <c r="L6" s="99" t="s">
        <v>203</v>
      </c>
      <c r="M6" s="99" t="s">
        <v>204</v>
      </c>
      <c r="N6" s="99" t="s">
        <v>205</v>
      </c>
      <c r="O6" s="99" t="s">
        <v>334</v>
      </c>
      <c r="P6" s="99" t="s">
        <v>206</v>
      </c>
      <c r="Q6" s="99" t="s">
        <v>207</v>
      </c>
      <c r="R6" s="99" t="s">
        <v>208</v>
      </c>
      <c r="S6" s="99" t="s">
        <v>209</v>
      </c>
      <c r="T6" s="99" t="s">
        <v>210</v>
      </c>
      <c r="U6" s="99" t="s">
        <v>211</v>
      </c>
      <c r="V6" s="99" t="s">
        <v>212</v>
      </c>
      <c r="W6" s="99" t="s">
        <v>213</v>
      </c>
      <c r="X6" s="99" t="s">
        <v>214</v>
      </c>
      <c r="Y6" s="99" t="s">
        <v>215</v>
      </c>
      <c r="Z6" s="99" t="s">
        <v>216</v>
      </c>
      <c r="AA6" s="99" t="s">
        <v>217</v>
      </c>
      <c r="AB6" s="99" t="s">
        <v>218</v>
      </c>
      <c r="AC6" s="155"/>
      <c r="AD6" s="187" t="s">
        <v>284</v>
      </c>
    </row>
    <row r="7" spans="1:32" ht="9.75" customHeight="1" x14ac:dyDescent="0.2">
      <c r="A7" s="33"/>
      <c r="B7" s="15"/>
      <c r="C7" s="15"/>
      <c r="D7" s="15"/>
      <c r="E7" s="15"/>
      <c r="F7" s="15"/>
      <c r="G7" s="15"/>
      <c r="H7" s="15"/>
      <c r="I7" s="15"/>
      <c r="J7" s="15"/>
      <c r="K7" s="15"/>
      <c r="L7" s="98"/>
      <c r="M7" s="15"/>
      <c r="N7" s="15"/>
      <c r="O7" s="15"/>
      <c r="P7" s="15"/>
      <c r="Q7" s="15"/>
      <c r="R7" s="15"/>
      <c r="S7" s="15"/>
      <c r="T7" s="15"/>
      <c r="U7" s="15"/>
      <c r="V7" s="15"/>
      <c r="W7" s="15"/>
      <c r="X7" s="15"/>
      <c r="Y7" s="15"/>
      <c r="Z7" s="15"/>
      <c r="AA7" s="15"/>
      <c r="AB7" s="15"/>
      <c r="AC7" s="150"/>
      <c r="AD7" s="15"/>
    </row>
    <row r="8" spans="1:32" ht="27" x14ac:dyDescent="0.25">
      <c r="A8" s="16" t="s">
        <v>157</v>
      </c>
      <c r="B8" s="15"/>
      <c r="C8" s="15"/>
      <c r="D8" s="15"/>
      <c r="E8" s="15"/>
      <c r="F8" s="15"/>
      <c r="G8" s="15"/>
      <c r="H8" s="15"/>
      <c r="I8" s="15"/>
      <c r="J8" s="15"/>
      <c r="K8" s="15"/>
      <c r="L8" s="98"/>
      <c r="M8" s="15"/>
      <c r="N8" s="15"/>
      <c r="O8" s="15"/>
      <c r="P8" s="15"/>
      <c r="Q8" s="15"/>
      <c r="R8" s="15"/>
      <c r="S8" s="15"/>
      <c r="T8" s="15"/>
      <c r="U8" s="133"/>
      <c r="V8" s="15"/>
      <c r="W8" s="15"/>
      <c r="X8" s="15"/>
      <c r="Y8" s="15"/>
      <c r="Z8" s="15"/>
      <c r="AA8" s="15"/>
      <c r="AB8" s="15"/>
      <c r="AC8" s="150"/>
      <c r="AD8" s="15"/>
    </row>
    <row r="9" spans="1:32" x14ac:dyDescent="0.2">
      <c r="A9" s="13" t="s">
        <v>17</v>
      </c>
      <c r="B9" s="14">
        <v>3095</v>
      </c>
      <c r="C9" s="14">
        <v>1725</v>
      </c>
      <c r="D9" s="14">
        <v>2198</v>
      </c>
      <c r="E9" s="14">
        <v>3779</v>
      </c>
      <c r="F9" s="14">
        <v>3222</v>
      </c>
      <c r="G9" s="14">
        <v>6887</v>
      </c>
      <c r="H9" s="14">
        <v>1698</v>
      </c>
      <c r="I9" s="14">
        <v>2751</v>
      </c>
      <c r="J9" s="14">
        <v>1272</v>
      </c>
      <c r="K9" s="14">
        <v>5091</v>
      </c>
      <c r="L9" s="14">
        <v>2056</v>
      </c>
      <c r="M9" s="14">
        <v>12152</v>
      </c>
      <c r="N9" s="14">
        <v>1447</v>
      </c>
      <c r="O9" s="14">
        <f>1810+2439</f>
        <v>4249</v>
      </c>
      <c r="P9" s="14">
        <v>2398</v>
      </c>
      <c r="Q9" s="14">
        <v>9569</v>
      </c>
      <c r="R9" s="14">
        <v>4569</v>
      </c>
      <c r="S9" s="14">
        <v>738</v>
      </c>
      <c r="T9" s="14">
        <v>1243</v>
      </c>
      <c r="U9" s="112">
        <v>1691</v>
      </c>
      <c r="V9" s="14">
        <v>4807</v>
      </c>
      <c r="W9" s="14">
        <v>2397</v>
      </c>
      <c r="X9" s="14">
        <v>1315</v>
      </c>
      <c r="Y9" s="14">
        <v>2947</v>
      </c>
      <c r="Z9" s="14">
        <v>577</v>
      </c>
      <c r="AA9" s="14">
        <v>1121</v>
      </c>
      <c r="AB9" s="14">
        <v>991</v>
      </c>
      <c r="AC9" s="150"/>
      <c r="AD9" s="190">
        <f>AVERAGE(B9:AB9)</f>
        <v>3184.6296296296296</v>
      </c>
      <c r="AF9" s="1">
        <f>COUNT(B9:AB9)</f>
        <v>27</v>
      </c>
    </row>
    <row r="10" spans="1:32" x14ac:dyDescent="0.2">
      <c r="A10" s="13" t="s">
        <v>18</v>
      </c>
      <c r="B10" s="125">
        <f xml:space="preserve"> 2180/B9</f>
        <v>0.70436187399030692</v>
      </c>
      <c r="C10" s="17">
        <v>0.95799999999999996</v>
      </c>
      <c r="D10" s="17">
        <v>0.89080000000000004</v>
      </c>
      <c r="E10" s="17">
        <v>0.7</v>
      </c>
      <c r="F10" s="17">
        <v>0.62</v>
      </c>
      <c r="G10" s="17">
        <v>0.75</v>
      </c>
      <c r="H10" s="17">
        <v>0.67</v>
      </c>
      <c r="I10" s="17">
        <v>0.52200000000000002</v>
      </c>
      <c r="J10" s="17">
        <v>0.56000000000000005</v>
      </c>
      <c r="K10" s="17">
        <v>0.5</v>
      </c>
      <c r="L10" s="17">
        <v>0.8745136186770428</v>
      </c>
      <c r="M10" s="17">
        <v>0.85</v>
      </c>
      <c r="N10" s="17">
        <v>0.93700000000000006</v>
      </c>
      <c r="O10" s="17">
        <f>(1280+1791)/O9</f>
        <v>0.72275829606966346</v>
      </c>
      <c r="P10" s="137">
        <v>0.61</v>
      </c>
      <c r="Q10" s="17">
        <v>0.432</v>
      </c>
      <c r="R10" s="17">
        <v>0.75029999999999997</v>
      </c>
      <c r="S10" s="17">
        <v>0.81799999999999995</v>
      </c>
      <c r="T10" s="17">
        <v>0.6</v>
      </c>
      <c r="U10" s="134">
        <v>0.86</v>
      </c>
      <c r="V10" s="17">
        <v>0.76</v>
      </c>
      <c r="W10" s="17">
        <f>1462/W9</f>
        <v>0.60992907801418439</v>
      </c>
      <c r="X10" s="17">
        <v>0.78</v>
      </c>
      <c r="Y10" s="17">
        <v>0.68</v>
      </c>
      <c r="Z10" s="17">
        <v>0.64600000000000002</v>
      </c>
      <c r="AA10" s="17">
        <v>0.77</v>
      </c>
      <c r="AB10" s="17">
        <v>0.7</v>
      </c>
      <c r="AC10" s="150"/>
      <c r="AD10" s="191">
        <f>AVERAGE(B10:AB10)</f>
        <v>0.71391343950930353</v>
      </c>
      <c r="AF10" s="1">
        <f>COUNT(B10:AB10)</f>
        <v>27</v>
      </c>
    </row>
    <row r="11" spans="1:32" x14ac:dyDescent="0.2">
      <c r="A11" s="13" t="s">
        <v>19</v>
      </c>
      <c r="B11" s="125">
        <f xml:space="preserve"> 951/2180</f>
        <v>0.43623853211009173</v>
      </c>
      <c r="C11" s="17">
        <v>0.32800000000000001</v>
      </c>
      <c r="D11" s="17">
        <v>0.35</v>
      </c>
      <c r="E11" s="17">
        <v>0.46</v>
      </c>
      <c r="F11" s="17">
        <v>0.42</v>
      </c>
      <c r="G11" s="17">
        <v>0.24</v>
      </c>
      <c r="H11" s="17">
        <v>0.27</v>
      </c>
      <c r="I11" s="17">
        <v>0.45</v>
      </c>
      <c r="J11" s="17">
        <v>0.33</v>
      </c>
      <c r="K11" s="17">
        <v>0.34899999999999998</v>
      </c>
      <c r="L11" s="17">
        <v>0.44160177975528364</v>
      </c>
      <c r="M11" s="17">
        <v>0.18</v>
      </c>
      <c r="N11" s="17">
        <v>0.51400000000000001</v>
      </c>
      <c r="O11" s="17">
        <f>(496+28+696+29)/(1280+1791)</f>
        <v>0.40670791273200912</v>
      </c>
      <c r="P11" s="137">
        <v>0.3</v>
      </c>
      <c r="Q11" s="17">
        <v>0.24399999999999999</v>
      </c>
      <c r="R11" s="17">
        <v>0.40200000000000002</v>
      </c>
      <c r="S11" s="17">
        <v>0.56200000000000006</v>
      </c>
      <c r="T11" s="17">
        <v>0.32</v>
      </c>
      <c r="U11" s="134">
        <v>0.40500000000000003</v>
      </c>
      <c r="V11" s="17">
        <v>0.27</v>
      </c>
      <c r="W11" s="17">
        <f>465/1462</f>
        <v>0.31805745554035569</v>
      </c>
      <c r="X11" s="17">
        <v>0.5</v>
      </c>
      <c r="Y11" s="17">
        <v>0.3</v>
      </c>
      <c r="Z11" s="17">
        <v>0.56599999999999995</v>
      </c>
      <c r="AA11" s="17">
        <v>0.42</v>
      </c>
      <c r="AB11" s="17">
        <v>0.36</v>
      </c>
      <c r="AC11" s="150"/>
      <c r="AD11" s="191">
        <f>AVERAGE(B11:AB11)</f>
        <v>0.37565206222732378</v>
      </c>
      <c r="AF11" s="1">
        <f>COUNT(B11:AB11)</f>
        <v>27</v>
      </c>
    </row>
    <row r="12" spans="1:32" ht="9.75" customHeight="1" x14ac:dyDescent="0.2">
      <c r="A12" s="9"/>
      <c r="B12" s="15"/>
      <c r="C12" s="15"/>
      <c r="D12" s="15"/>
      <c r="E12" s="15"/>
      <c r="F12" s="15"/>
      <c r="G12" s="15"/>
      <c r="H12" s="15"/>
      <c r="I12" s="15"/>
      <c r="J12" s="15"/>
      <c r="K12" s="15"/>
      <c r="L12" s="98"/>
      <c r="M12" s="15"/>
      <c r="N12" s="15"/>
      <c r="O12" s="15"/>
      <c r="P12" s="15"/>
      <c r="Q12" s="15"/>
      <c r="R12" s="15"/>
      <c r="S12" s="15"/>
      <c r="T12" s="15"/>
      <c r="U12" s="15"/>
      <c r="V12" s="15"/>
      <c r="W12" s="15"/>
      <c r="X12" s="15"/>
      <c r="Y12" s="15"/>
      <c r="Z12" s="15"/>
      <c r="AA12" s="15"/>
      <c r="AB12" s="15"/>
      <c r="AC12" s="150"/>
      <c r="AD12" s="15"/>
    </row>
    <row r="13" spans="1:32" ht="27" x14ac:dyDescent="0.25">
      <c r="A13" s="16" t="s">
        <v>158</v>
      </c>
      <c r="B13" s="15"/>
      <c r="C13" s="15"/>
      <c r="D13" s="15"/>
      <c r="E13" s="15"/>
      <c r="F13" s="15"/>
      <c r="G13" s="15"/>
      <c r="H13" s="15"/>
      <c r="I13" s="15"/>
      <c r="J13" s="15"/>
      <c r="K13" s="15"/>
      <c r="L13" s="98"/>
      <c r="M13" s="15"/>
      <c r="N13" s="15"/>
      <c r="O13" s="15"/>
      <c r="P13" s="15"/>
      <c r="Q13" s="15"/>
      <c r="R13" s="15"/>
      <c r="S13" s="15"/>
      <c r="T13" s="15"/>
      <c r="U13" s="15"/>
      <c r="V13" s="15"/>
      <c r="W13" s="15"/>
      <c r="X13" s="15"/>
      <c r="Y13" s="15"/>
      <c r="Z13" s="15"/>
      <c r="AA13" s="15"/>
      <c r="AB13" s="15"/>
      <c r="AC13" s="150"/>
      <c r="AD13" s="15"/>
    </row>
    <row r="14" spans="1:32" ht="12.75" customHeight="1" x14ac:dyDescent="0.2">
      <c r="A14" s="13" t="s">
        <v>20</v>
      </c>
      <c r="B14" s="14">
        <v>927</v>
      </c>
      <c r="C14" s="14">
        <v>537</v>
      </c>
      <c r="D14" s="14">
        <v>760</v>
      </c>
      <c r="E14" s="14">
        <v>1204</v>
      </c>
      <c r="F14" s="14">
        <v>817</v>
      </c>
      <c r="G14" s="14">
        <v>1260</v>
      </c>
      <c r="H14" s="14">
        <v>306</v>
      </c>
      <c r="I14" s="14">
        <v>633</v>
      </c>
      <c r="J14" s="14">
        <v>237</v>
      </c>
      <c r="K14" s="14">
        <v>893</v>
      </c>
      <c r="L14" s="14">
        <v>783</v>
      </c>
      <c r="M14" s="14">
        <v>1810</v>
      </c>
      <c r="N14" s="14">
        <v>664</v>
      </c>
      <c r="O14" s="14">
        <f>496+696</f>
        <v>1192</v>
      </c>
      <c r="P14" s="14">
        <v>446</v>
      </c>
      <c r="Q14" s="14">
        <v>1008</v>
      </c>
      <c r="R14" s="14">
        <v>1377</v>
      </c>
      <c r="S14" s="14">
        <v>268</v>
      </c>
      <c r="T14" s="14">
        <v>239</v>
      </c>
      <c r="U14" s="14">
        <v>474</v>
      </c>
      <c r="V14" s="14">
        <v>954</v>
      </c>
      <c r="W14" s="14">
        <v>462</v>
      </c>
      <c r="X14" s="14">
        <v>497</v>
      </c>
      <c r="Y14" s="14">
        <v>538</v>
      </c>
      <c r="Z14" s="14">
        <v>203</v>
      </c>
      <c r="AA14" s="14">
        <v>356</v>
      </c>
      <c r="AB14" s="14">
        <v>341</v>
      </c>
      <c r="AC14" s="150"/>
      <c r="AD14" s="120">
        <f>AVERAGE(B14:AB14)</f>
        <v>710.59259259259261</v>
      </c>
      <c r="AF14" s="1">
        <f>COUNT(B14:AB14)</f>
        <v>27</v>
      </c>
    </row>
    <row r="15" spans="1:32" ht="12.75" customHeight="1" x14ac:dyDescent="0.2">
      <c r="A15" s="13" t="s">
        <v>21</v>
      </c>
      <c r="B15" s="17">
        <f xml:space="preserve"> 495/927</f>
        <v>0.53398058252427183</v>
      </c>
      <c r="C15" s="17">
        <v>0.499</v>
      </c>
      <c r="D15" s="17">
        <v>0.45</v>
      </c>
      <c r="E15" s="17">
        <v>0.38</v>
      </c>
      <c r="F15" s="17">
        <v>0.56000000000000005</v>
      </c>
      <c r="G15" s="17">
        <v>0.6</v>
      </c>
      <c r="H15" s="17">
        <v>0.6</v>
      </c>
      <c r="I15" s="17">
        <v>0.55200000000000005</v>
      </c>
      <c r="J15" s="17">
        <v>0.63</v>
      </c>
      <c r="K15" s="17">
        <v>0.57669999999999999</v>
      </c>
      <c r="L15" s="17">
        <v>0.54661558109833974</v>
      </c>
      <c r="M15" s="17">
        <v>0.62</v>
      </c>
      <c r="N15" s="17">
        <v>0.58599999999999997</v>
      </c>
      <c r="O15" s="17">
        <f>696/O14</f>
        <v>0.58389261744966447</v>
      </c>
      <c r="P15" s="17">
        <v>0.61</v>
      </c>
      <c r="Q15" s="17">
        <f>579/Q14</f>
        <v>0.57440476190476186</v>
      </c>
      <c r="R15" s="17">
        <v>0.626</v>
      </c>
      <c r="S15" s="17">
        <v>0.64500000000000002</v>
      </c>
      <c r="T15" s="17">
        <v>0.55000000000000004</v>
      </c>
      <c r="U15" s="17">
        <v>0.70799999999999996</v>
      </c>
      <c r="V15" s="17">
        <v>0.68</v>
      </c>
      <c r="W15" s="17">
        <v>0.6</v>
      </c>
      <c r="X15" s="17">
        <v>0.65</v>
      </c>
      <c r="Y15" s="17">
        <v>0.6</v>
      </c>
      <c r="Z15" s="17">
        <v>0.63500000000000001</v>
      </c>
      <c r="AA15" s="17">
        <v>0.51</v>
      </c>
      <c r="AB15" s="17">
        <f>174/341</f>
        <v>0.51026392961876832</v>
      </c>
      <c r="AC15" s="150"/>
      <c r="AD15" s="26">
        <f>AVERAGE(B15:AB15)</f>
        <v>0.57840212861465945</v>
      </c>
      <c r="AF15" s="1">
        <f>COUNT(B15:AB15)</f>
        <v>27</v>
      </c>
    </row>
    <row r="16" spans="1:32" ht="12.75" customHeight="1" x14ac:dyDescent="0.2">
      <c r="A16" s="13" t="s">
        <v>22</v>
      </c>
      <c r="B16" s="17">
        <v>0.47</v>
      </c>
      <c r="C16" s="17">
        <v>0.5</v>
      </c>
      <c r="D16" s="17">
        <v>0.53</v>
      </c>
      <c r="E16" s="17">
        <v>0.62</v>
      </c>
      <c r="F16" s="17">
        <v>0.44</v>
      </c>
      <c r="G16" s="17">
        <v>0.4</v>
      </c>
      <c r="H16" s="17">
        <v>0.4</v>
      </c>
      <c r="I16" s="17">
        <v>0.44900000000000001</v>
      </c>
      <c r="J16" s="17">
        <v>0.37</v>
      </c>
      <c r="K16" s="17">
        <v>0.42330000000000001</v>
      </c>
      <c r="L16" s="17">
        <v>0.45338441890166026</v>
      </c>
      <c r="M16" s="17">
        <v>0.37</v>
      </c>
      <c r="N16" s="17">
        <v>0.41399999999999998</v>
      </c>
      <c r="O16" s="17">
        <f>496/O14</f>
        <v>0.41610738255033558</v>
      </c>
      <c r="P16" s="17">
        <v>0.39</v>
      </c>
      <c r="Q16" s="17">
        <f>429/Q14</f>
        <v>0.42559523809523808</v>
      </c>
      <c r="R16" s="17">
        <v>0.374</v>
      </c>
      <c r="S16" s="17">
        <v>0.35799999999999998</v>
      </c>
      <c r="T16" s="17">
        <v>0.45</v>
      </c>
      <c r="U16" s="17">
        <v>0.29099999999999998</v>
      </c>
      <c r="V16" s="17">
        <v>0.32</v>
      </c>
      <c r="W16" s="17">
        <v>0.4</v>
      </c>
      <c r="X16" s="17">
        <v>0.35</v>
      </c>
      <c r="Y16" s="17">
        <v>0.4</v>
      </c>
      <c r="Z16" s="17">
        <v>0.36499999999999999</v>
      </c>
      <c r="AA16" s="17">
        <v>0.49</v>
      </c>
      <c r="AB16" s="17">
        <f>167/341</f>
        <v>0.48973607038123168</v>
      </c>
      <c r="AC16" s="150"/>
      <c r="AD16" s="26">
        <f>AVERAGE(B16:AB16)</f>
        <v>0.4207082633306839</v>
      </c>
      <c r="AF16" s="1">
        <f>COUNT(B16:AB16)</f>
        <v>27</v>
      </c>
    </row>
    <row r="17" spans="1:32" s="19" customFormat="1" ht="25.5" customHeight="1" x14ac:dyDescent="0.2">
      <c r="A17" s="34" t="s">
        <v>23</v>
      </c>
      <c r="B17" s="17">
        <f xml:space="preserve"> 204/914</f>
        <v>0.22319474835886213</v>
      </c>
      <c r="C17" s="17">
        <v>0.21</v>
      </c>
      <c r="D17" s="17">
        <v>0.02</v>
      </c>
      <c r="E17" s="26">
        <v>0.1305</v>
      </c>
      <c r="F17" s="17">
        <v>0.4</v>
      </c>
      <c r="G17" s="17">
        <v>0.09</v>
      </c>
      <c r="H17" s="17">
        <v>0.21</v>
      </c>
      <c r="I17" s="17">
        <v>0.3175</v>
      </c>
      <c r="J17" s="17">
        <v>0.26</v>
      </c>
      <c r="K17" s="17">
        <v>0.28199999999999997</v>
      </c>
      <c r="L17" s="17">
        <v>0.13695090439276486</v>
      </c>
      <c r="M17" s="17">
        <v>0.35</v>
      </c>
      <c r="N17" s="17">
        <v>0.25</v>
      </c>
      <c r="O17" s="17">
        <f>109/O14</f>
        <v>9.1442953020134235E-2</v>
      </c>
      <c r="P17" s="17">
        <v>0.19</v>
      </c>
      <c r="Q17" s="17">
        <f>(70+3+74+33+1+27)/Q14</f>
        <v>0.20634920634920634</v>
      </c>
      <c r="R17" s="17">
        <v>0.108</v>
      </c>
      <c r="S17" s="17"/>
      <c r="T17" s="17">
        <v>0.28000000000000003</v>
      </c>
      <c r="U17" s="17">
        <f>(2132-1-1771-243)/2132</f>
        <v>5.4878048780487805E-2</v>
      </c>
      <c r="V17" s="17">
        <v>0.25</v>
      </c>
      <c r="W17" s="17">
        <v>0.22800000000000001</v>
      </c>
      <c r="X17" s="17">
        <v>0.19</v>
      </c>
      <c r="Y17" s="17">
        <v>0.13</v>
      </c>
      <c r="Z17" s="17">
        <v>0.25600000000000001</v>
      </c>
      <c r="AA17" s="17">
        <v>0.18</v>
      </c>
      <c r="AB17" s="17">
        <v>0.08</v>
      </c>
      <c r="AC17" s="151"/>
      <c r="AD17" s="26">
        <f>AVERAGE(B17:AB17)</f>
        <v>0.19710830234236365</v>
      </c>
      <c r="AF17" s="19">
        <f>COUNT(B17:AB17)</f>
        <v>26</v>
      </c>
    </row>
    <row r="18" spans="1:32" s="19" customFormat="1" ht="12.75" customHeight="1" x14ac:dyDescent="0.2">
      <c r="A18" s="186" t="s">
        <v>24</v>
      </c>
      <c r="B18" s="23">
        <v>24</v>
      </c>
      <c r="C18" s="184">
        <v>5</v>
      </c>
      <c r="D18" s="121">
        <v>2</v>
      </c>
      <c r="E18" s="23">
        <v>5</v>
      </c>
      <c r="F18" s="23">
        <v>6</v>
      </c>
      <c r="G18" s="121">
        <v>2</v>
      </c>
      <c r="H18" s="23">
        <v>2</v>
      </c>
      <c r="I18" s="23">
        <v>13</v>
      </c>
      <c r="J18" s="23"/>
      <c r="K18" s="23">
        <v>2</v>
      </c>
      <c r="L18" s="23">
        <v>11</v>
      </c>
      <c r="M18" s="23">
        <v>31</v>
      </c>
      <c r="N18" s="23">
        <v>33</v>
      </c>
      <c r="O18" s="196">
        <v>57</v>
      </c>
      <c r="P18" s="184">
        <v>0</v>
      </c>
      <c r="Q18" s="23">
        <v>2</v>
      </c>
      <c r="R18" s="184">
        <v>1</v>
      </c>
      <c r="S18" s="185">
        <v>12</v>
      </c>
      <c r="T18" s="23">
        <v>2</v>
      </c>
      <c r="U18" s="121">
        <v>1</v>
      </c>
      <c r="V18" s="23">
        <v>16</v>
      </c>
      <c r="W18" s="23">
        <v>3</v>
      </c>
      <c r="X18" s="184">
        <v>10</v>
      </c>
      <c r="Y18" s="23">
        <v>2</v>
      </c>
      <c r="Z18" s="184">
        <v>4</v>
      </c>
      <c r="AA18" s="184">
        <v>0</v>
      </c>
      <c r="AB18" s="23">
        <v>11</v>
      </c>
      <c r="AC18" s="151"/>
      <c r="AD18" s="124">
        <v>8</v>
      </c>
      <c r="AF18" s="19">
        <f>COUNT(B18:AB18)</f>
        <v>26</v>
      </c>
    </row>
    <row r="19" spans="1:32" s="22" customFormat="1" ht="12.75" customHeight="1" x14ac:dyDescent="0.2">
      <c r="A19" s="13" t="s">
        <v>25</v>
      </c>
      <c r="B19" s="15"/>
      <c r="C19" s="15"/>
      <c r="D19" s="15"/>
      <c r="E19" s="15"/>
      <c r="F19" s="15"/>
      <c r="G19" s="15"/>
      <c r="H19" s="15"/>
      <c r="I19" s="15"/>
      <c r="J19" s="15"/>
      <c r="K19" s="15"/>
      <c r="L19" s="98"/>
      <c r="M19" s="15"/>
      <c r="N19" s="15"/>
      <c r="O19" s="15"/>
      <c r="P19" s="15"/>
      <c r="Q19" s="15"/>
      <c r="R19" s="15"/>
      <c r="S19" s="15"/>
      <c r="T19" s="15"/>
      <c r="U19" s="15"/>
      <c r="V19" s="15"/>
      <c r="W19" s="15"/>
      <c r="X19" s="15"/>
      <c r="Y19" s="15"/>
      <c r="Z19" s="15"/>
      <c r="AA19" s="15"/>
      <c r="AB19" s="15"/>
      <c r="AC19" s="152"/>
      <c r="AD19" s="61"/>
    </row>
    <row r="20" spans="1:32" x14ac:dyDescent="0.2">
      <c r="A20" s="13" t="s">
        <v>26</v>
      </c>
      <c r="B20" s="17">
        <v>0.06</v>
      </c>
      <c r="C20" s="17">
        <v>0.11</v>
      </c>
      <c r="D20" s="17">
        <v>0.11</v>
      </c>
      <c r="E20" s="26"/>
      <c r="F20" s="17">
        <v>0.13</v>
      </c>
      <c r="G20" s="17">
        <v>0.06</v>
      </c>
      <c r="H20" s="17">
        <v>0.09</v>
      </c>
      <c r="I20" s="17">
        <v>0.14000000000000001</v>
      </c>
      <c r="J20" s="17">
        <v>0.43</v>
      </c>
      <c r="K20" s="17">
        <v>0.223</v>
      </c>
      <c r="L20" s="17"/>
      <c r="M20" s="17"/>
      <c r="N20" s="26"/>
      <c r="O20" s="17">
        <v>0.18579999999999999</v>
      </c>
      <c r="P20" s="17">
        <v>0.32</v>
      </c>
      <c r="Q20" s="17">
        <v>0.47</v>
      </c>
      <c r="R20" s="17">
        <v>0.49</v>
      </c>
      <c r="S20" s="17"/>
      <c r="T20" s="17">
        <v>0.15</v>
      </c>
      <c r="U20" s="17">
        <v>0.11</v>
      </c>
      <c r="V20" s="17"/>
      <c r="W20" s="17">
        <v>0.28999999999999998</v>
      </c>
      <c r="X20" s="17"/>
      <c r="Y20" s="17">
        <v>0.2</v>
      </c>
      <c r="Z20" s="17">
        <v>0.22500000000000001</v>
      </c>
      <c r="AA20" s="17">
        <v>0.16</v>
      </c>
      <c r="AB20" s="17">
        <v>0.1</v>
      </c>
      <c r="AC20" s="150"/>
      <c r="AD20" s="26">
        <f>AVERAGE(B20:AB20)</f>
        <v>0.20269000000000004</v>
      </c>
      <c r="AF20" s="19">
        <f>COUNT(B20:AB20)</f>
        <v>20</v>
      </c>
    </row>
    <row r="21" spans="1:32" x14ac:dyDescent="0.2">
      <c r="A21" s="13" t="s">
        <v>27</v>
      </c>
      <c r="B21" s="15"/>
      <c r="C21" s="15"/>
      <c r="D21" s="15"/>
      <c r="E21" s="15"/>
      <c r="F21" s="15"/>
      <c r="G21" s="15"/>
      <c r="H21" s="15"/>
      <c r="I21" s="15"/>
      <c r="J21" s="15"/>
      <c r="K21" s="15"/>
      <c r="L21" s="98"/>
      <c r="M21" s="15"/>
      <c r="N21" s="15"/>
      <c r="O21" s="15"/>
      <c r="P21" s="15"/>
      <c r="Q21" s="15"/>
      <c r="R21" s="15"/>
      <c r="S21" s="15"/>
      <c r="T21" s="15"/>
      <c r="U21" s="15"/>
      <c r="V21" s="15"/>
      <c r="W21" s="15"/>
      <c r="X21" s="15"/>
      <c r="Y21" s="15"/>
      <c r="Z21" s="15"/>
      <c r="AA21" s="15"/>
      <c r="AB21" s="15"/>
      <c r="AC21" s="150"/>
      <c r="AD21" s="61"/>
    </row>
    <row r="22" spans="1:32" x14ac:dyDescent="0.2">
      <c r="A22" s="13" t="s">
        <v>28</v>
      </c>
      <c r="B22" s="35">
        <v>21.1</v>
      </c>
      <c r="C22" s="35">
        <v>24</v>
      </c>
      <c r="D22" s="35">
        <v>20</v>
      </c>
      <c r="E22" s="35">
        <v>24.03</v>
      </c>
      <c r="F22" s="35">
        <v>21.4</v>
      </c>
      <c r="G22" s="35"/>
      <c r="H22" s="35">
        <v>22</v>
      </c>
      <c r="I22" s="35">
        <v>21.27</v>
      </c>
      <c r="J22" s="35">
        <v>29</v>
      </c>
      <c r="K22" s="35"/>
      <c r="L22" s="35">
        <v>21.65</v>
      </c>
      <c r="M22" s="35">
        <v>22</v>
      </c>
      <c r="N22" s="114">
        <v>22.34</v>
      </c>
      <c r="O22" s="35">
        <v>23</v>
      </c>
      <c r="P22" s="35"/>
      <c r="Q22" s="35">
        <v>28.3</v>
      </c>
      <c r="R22" s="35">
        <v>27.12</v>
      </c>
      <c r="S22" s="35"/>
      <c r="T22" s="35">
        <v>23.2</v>
      </c>
      <c r="U22" s="35"/>
      <c r="V22" s="114">
        <v>24.8</v>
      </c>
      <c r="W22" s="35">
        <v>25.3</v>
      </c>
      <c r="X22" s="35">
        <v>23</v>
      </c>
      <c r="Y22" s="23">
        <v>26</v>
      </c>
      <c r="Z22" s="35">
        <v>23.5</v>
      </c>
      <c r="AA22" s="35">
        <v>20</v>
      </c>
      <c r="AB22" s="23">
        <v>22</v>
      </c>
      <c r="AC22" s="150"/>
      <c r="AD22" s="61">
        <f>AVERAGE(A22:B22)</f>
        <v>21.1</v>
      </c>
      <c r="AF22" s="1">
        <f>COUNT(B22:AB22)</f>
        <v>22</v>
      </c>
    </row>
    <row r="23" spans="1:32" ht="25.5" customHeight="1" x14ac:dyDescent="0.2">
      <c r="A23" s="18" t="s">
        <v>29</v>
      </c>
      <c r="B23" s="36" t="s">
        <v>240</v>
      </c>
      <c r="C23" s="36" t="s">
        <v>254</v>
      </c>
      <c r="D23" s="36" t="s">
        <v>219</v>
      </c>
      <c r="E23" s="36" t="s">
        <v>237</v>
      </c>
      <c r="F23" s="36" t="s">
        <v>267</v>
      </c>
      <c r="G23" s="36"/>
      <c r="H23" s="36" t="s">
        <v>270</v>
      </c>
      <c r="I23" s="36" t="s">
        <v>280</v>
      </c>
      <c r="J23" s="36" t="s">
        <v>244</v>
      </c>
      <c r="K23" s="36"/>
      <c r="L23" s="36" t="s">
        <v>190</v>
      </c>
      <c r="M23" s="36" t="s">
        <v>267</v>
      </c>
      <c r="N23" s="61" t="s">
        <v>259</v>
      </c>
      <c r="O23" s="36" t="s">
        <v>331</v>
      </c>
      <c r="P23" s="156" t="s">
        <v>285</v>
      </c>
      <c r="Q23" s="36" t="s">
        <v>232</v>
      </c>
      <c r="R23" s="36" t="s">
        <v>227</v>
      </c>
      <c r="S23" s="36"/>
      <c r="T23" s="36" t="s">
        <v>264</v>
      </c>
      <c r="U23" s="36"/>
      <c r="V23" s="36" t="s">
        <v>222</v>
      </c>
      <c r="W23" s="156" t="s">
        <v>295</v>
      </c>
      <c r="X23" s="36"/>
      <c r="Y23" s="36" t="s">
        <v>249</v>
      </c>
      <c r="Z23" s="36"/>
      <c r="AA23" s="36" t="s">
        <v>291</v>
      </c>
      <c r="AB23" s="36" t="s">
        <v>235</v>
      </c>
      <c r="AC23" s="150"/>
      <c r="AD23" s="61" t="s">
        <v>299</v>
      </c>
      <c r="AF23" s="1">
        <v>17</v>
      </c>
    </row>
    <row r="24" spans="1:32" x14ac:dyDescent="0.2">
      <c r="A24" s="13" t="s">
        <v>30</v>
      </c>
      <c r="B24" s="15"/>
      <c r="C24" s="15"/>
      <c r="D24" s="15"/>
      <c r="E24" s="15"/>
      <c r="F24" s="15"/>
      <c r="G24" s="15"/>
      <c r="H24" s="15"/>
      <c r="I24" s="15"/>
      <c r="J24" s="15"/>
      <c r="K24" s="15"/>
      <c r="L24" s="98"/>
      <c r="M24" s="15"/>
      <c r="N24" s="15"/>
      <c r="O24" s="15"/>
      <c r="P24" s="15"/>
      <c r="Q24" s="15"/>
      <c r="R24" s="15"/>
      <c r="S24" s="15"/>
      <c r="T24" s="15"/>
      <c r="U24" s="15"/>
      <c r="V24" s="15"/>
      <c r="W24" s="15"/>
      <c r="X24" s="15"/>
      <c r="Y24" s="15"/>
      <c r="Z24" s="15"/>
      <c r="AA24" s="15"/>
      <c r="AB24" s="15"/>
      <c r="AC24" s="150"/>
      <c r="AD24" s="61"/>
    </row>
    <row r="25" spans="1:32" x14ac:dyDescent="0.2">
      <c r="A25" s="13" t="s">
        <v>31</v>
      </c>
      <c r="B25" s="36">
        <v>505.7</v>
      </c>
      <c r="C25" s="36">
        <v>572</v>
      </c>
      <c r="D25" s="36"/>
      <c r="E25" s="36">
        <v>567.03</v>
      </c>
      <c r="F25" s="36"/>
      <c r="G25" s="36">
        <v>497</v>
      </c>
      <c r="H25" s="36">
        <v>520</v>
      </c>
      <c r="I25" s="36">
        <v>499.48</v>
      </c>
      <c r="J25" s="36">
        <v>680</v>
      </c>
      <c r="K25" s="111">
        <v>547</v>
      </c>
      <c r="L25" s="36">
        <v>514.34</v>
      </c>
      <c r="M25" s="36">
        <v>508</v>
      </c>
      <c r="N25" s="61">
        <v>522.5</v>
      </c>
      <c r="O25" s="36">
        <v>508</v>
      </c>
      <c r="P25" s="36">
        <v>616</v>
      </c>
      <c r="Q25" s="36">
        <v>636.1</v>
      </c>
      <c r="R25" s="36">
        <v>597</v>
      </c>
      <c r="S25" s="36"/>
      <c r="T25" s="36"/>
      <c r="U25" s="36"/>
      <c r="V25" s="61">
        <v>585.79999999999995</v>
      </c>
      <c r="W25" s="36"/>
      <c r="X25" s="36"/>
      <c r="Y25" s="36">
        <v>596</v>
      </c>
      <c r="Z25" s="36"/>
      <c r="AA25" s="36">
        <v>485</v>
      </c>
      <c r="AB25" s="36"/>
      <c r="AC25" s="150"/>
      <c r="AD25" s="61">
        <v>556</v>
      </c>
      <c r="AF25" s="1">
        <f>COUNT(B25:AB25)</f>
        <v>18</v>
      </c>
    </row>
    <row r="26" spans="1:32" ht="25.5" customHeight="1" x14ac:dyDescent="0.2">
      <c r="A26" s="18" t="s">
        <v>32</v>
      </c>
      <c r="B26" s="36" t="s">
        <v>241</v>
      </c>
      <c r="C26" s="36" t="s">
        <v>255</v>
      </c>
      <c r="D26" s="36"/>
      <c r="E26" s="36" t="s">
        <v>238</v>
      </c>
      <c r="F26" s="36"/>
      <c r="G26" s="36" t="s">
        <v>220</v>
      </c>
      <c r="H26" s="36" t="s">
        <v>271</v>
      </c>
      <c r="I26" s="36" t="s">
        <v>281</v>
      </c>
      <c r="J26" s="36" t="s">
        <v>245</v>
      </c>
      <c r="K26" s="111" t="s">
        <v>289</v>
      </c>
      <c r="L26" s="36" t="s">
        <v>191</v>
      </c>
      <c r="M26" s="36" t="s">
        <v>268</v>
      </c>
      <c r="N26" s="61" t="s">
        <v>260</v>
      </c>
      <c r="O26" s="36" t="s">
        <v>332</v>
      </c>
      <c r="P26" s="156" t="s">
        <v>286</v>
      </c>
      <c r="Q26" s="36" t="s">
        <v>233</v>
      </c>
      <c r="R26" s="36" t="s">
        <v>228</v>
      </c>
      <c r="S26" s="36"/>
      <c r="T26" s="36"/>
      <c r="U26" s="36" t="s">
        <v>230</v>
      </c>
      <c r="V26" s="36" t="s">
        <v>223</v>
      </c>
      <c r="W26" s="156" t="s">
        <v>296</v>
      </c>
      <c r="X26" s="36"/>
      <c r="Y26" s="36" t="s">
        <v>250</v>
      </c>
      <c r="Z26" s="36"/>
      <c r="AA26" s="36" t="s">
        <v>292</v>
      </c>
      <c r="AB26" s="36"/>
      <c r="AC26" s="150"/>
      <c r="AD26" s="61"/>
      <c r="AF26" s="1">
        <v>15</v>
      </c>
    </row>
    <row r="27" spans="1:32" x14ac:dyDescent="0.2">
      <c r="A27" s="13" t="s">
        <v>33</v>
      </c>
      <c r="B27" s="36">
        <v>509.3</v>
      </c>
      <c r="C27" s="36">
        <v>539</v>
      </c>
      <c r="D27" s="36"/>
      <c r="E27" s="36">
        <v>553.41999999999996</v>
      </c>
      <c r="F27" s="36"/>
      <c r="G27" s="36">
        <v>499</v>
      </c>
      <c r="H27" s="36"/>
      <c r="I27" s="36">
        <v>488.29</v>
      </c>
      <c r="J27" s="36">
        <v>645</v>
      </c>
      <c r="K27" s="111">
        <v>552</v>
      </c>
      <c r="L27" s="36"/>
      <c r="M27" s="17"/>
      <c r="N27" s="61">
        <v>493.2</v>
      </c>
      <c r="O27" s="36">
        <v>489</v>
      </c>
      <c r="P27" s="36">
        <v>604</v>
      </c>
      <c r="Q27" s="36"/>
      <c r="R27" s="36"/>
      <c r="S27" s="36"/>
      <c r="T27" s="36"/>
      <c r="U27" s="36"/>
      <c r="V27" s="61">
        <v>569.9</v>
      </c>
      <c r="W27" s="36">
        <v>559</v>
      </c>
      <c r="X27" s="36"/>
      <c r="Y27" s="36">
        <v>571</v>
      </c>
      <c r="Z27" s="36"/>
      <c r="AA27" s="36">
        <v>464</v>
      </c>
      <c r="AB27" s="36"/>
      <c r="AC27" s="150"/>
      <c r="AD27" s="61"/>
      <c r="AF27" s="1">
        <f>COUNT(B27:AB27)</f>
        <v>14</v>
      </c>
    </row>
    <row r="28" spans="1:32" ht="25.5" x14ac:dyDescent="0.2">
      <c r="A28" s="18" t="s">
        <v>34</v>
      </c>
      <c r="B28" s="36" t="s">
        <v>242</v>
      </c>
      <c r="C28" s="36" t="s">
        <v>256</v>
      </c>
      <c r="D28" s="36"/>
      <c r="E28" s="36" t="s">
        <v>239</v>
      </c>
      <c r="F28" s="36"/>
      <c r="G28" s="36" t="s">
        <v>220</v>
      </c>
      <c r="H28" s="36"/>
      <c r="I28" s="36" t="s">
        <v>282</v>
      </c>
      <c r="J28" s="36" t="s">
        <v>246</v>
      </c>
      <c r="K28" s="111" t="s">
        <v>289</v>
      </c>
      <c r="L28" s="36"/>
      <c r="M28" s="17"/>
      <c r="N28" s="61" t="s">
        <v>261</v>
      </c>
      <c r="O28" s="36" t="s">
        <v>268</v>
      </c>
      <c r="P28" s="156" t="s">
        <v>287</v>
      </c>
      <c r="Q28" s="36"/>
      <c r="R28" s="36"/>
      <c r="S28" s="36"/>
      <c r="T28" s="36"/>
      <c r="U28" s="36"/>
      <c r="V28" s="36" t="s">
        <v>224</v>
      </c>
      <c r="W28" s="156" t="s">
        <v>297</v>
      </c>
      <c r="X28" s="36"/>
      <c r="Y28" s="36" t="s">
        <v>251</v>
      </c>
      <c r="Z28" s="36"/>
      <c r="AA28" s="36" t="s">
        <v>293</v>
      </c>
      <c r="AB28" s="36"/>
      <c r="AC28" s="150"/>
      <c r="AD28" s="61"/>
      <c r="AF28" s="1">
        <v>9</v>
      </c>
    </row>
    <row r="29" spans="1:32" x14ac:dyDescent="0.2">
      <c r="A29" s="13" t="s">
        <v>35</v>
      </c>
      <c r="B29" s="36">
        <v>499.6</v>
      </c>
      <c r="C29" s="36">
        <v>523</v>
      </c>
      <c r="D29" s="36"/>
      <c r="E29" s="36">
        <v>568.03</v>
      </c>
      <c r="F29" s="36"/>
      <c r="G29" s="36">
        <v>499</v>
      </c>
      <c r="H29" s="36">
        <v>510</v>
      </c>
      <c r="I29" s="36">
        <v>515.71</v>
      </c>
      <c r="J29" s="36">
        <v>621</v>
      </c>
      <c r="K29" s="111">
        <v>573</v>
      </c>
      <c r="L29" s="36">
        <v>503.03</v>
      </c>
      <c r="M29" s="36">
        <v>510</v>
      </c>
      <c r="N29" s="61">
        <v>504.6</v>
      </c>
      <c r="O29" s="36">
        <v>512</v>
      </c>
      <c r="P29" s="36">
        <v>592</v>
      </c>
      <c r="Q29" s="36">
        <v>637</v>
      </c>
      <c r="R29" s="36">
        <v>600</v>
      </c>
      <c r="S29" s="36"/>
      <c r="T29" s="36"/>
      <c r="U29" s="36"/>
      <c r="V29" s="61">
        <v>554.70000000000005</v>
      </c>
      <c r="W29" s="36">
        <v>581.9</v>
      </c>
      <c r="X29" s="36"/>
      <c r="Y29" s="36">
        <v>578</v>
      </c>
      <c r="Z29" s="36"/>
      <c r="AA29" s="36">
        <v>477</v>
      </c>
      <c r="AB29" s="36"/>
      <c r="AC29" s="150"/>
      <c r="AD29" s="61">
        <v>547</v>
      </c>
      <c r="AF29" s="1">
        <f>COUNT(B29:AB29)</f>
        <v>19</v>
      </c>
    </row>
    <row r="30" spans="1:32" ht="25.5" x14ac:dyDescent="0.2">
      <c r="A30" s="18" t="s">
        <v>36</v>
      </c>
      <c r="B30" s="36" t="s">
        <v>243</v>
      </c>
      <c r="C30" s="36" t="s">
        <v>257</v>
      </c>
      <c r="D30" s="36"/>
      <c r="E30" s="36" t="s">
        <v>238</v>
      </c>
      <c r="F30" s="36"/>
      <c r="G30" s="36" t="s">
        <v>220</v>
      </c>
      <c r="H30" s="36" t="s">
        <v>272</v>
      </c>
      <c r="I30" s="36" t="s">
        <v>283</v>
      </c>
      <c r="J30" s="36" t="s">
        <v>247</v>
      </c>
      <c r="K30" s="36" t="s">
        <v>289</v>
      </c>
      <c r="L30" s="36" t="s">
        <v>192</v>
      </c>
      <c r="M30" s="36" t="s">
        <v>268</v>
      </c>
      <c r="N30" s="61" t="s">
        <v>262</v>
      </c>
      <c r="O30" s="36" t="s">
        <v>333</v>
      </c>
      <c r="P30" s="156" t="s">
        <v>288</v>
      </c>
      <c r="Q30" s="36" t="s">
        <v>234</v>
      </c>
      <c r="R30" s="36" t="s">
        <v>229</v>
      </c>
      <c r="S30" s="36"/>
      <c r="T30" s="36"/>
      <c r="U30" s="36" t="s">
        <v>231</v>
      </c>
      <c r="V30" s="36" t="s">
        <v>225</v>
      </c>
      <c r="W30" s="156" t="s">
        <v>296</v>
      </c>
      <c r="X30" s="36"/>
      <c r="Y30" s="36" t="s">
        <v>252</v>
      </c>
      <c r="Z30" s="36"/>
      <c r="AA30" s="36" t="s">
        <v>294</v>
      </c>
      <c r="AB30" s="36"/>
      <c r="AC30" s="150"/>
      <c r="AD30" s="61"/>
      <c r="AF30" s="1">
        <v>15</v>
      </c>
    </row>
    <row r="31" spans="1:32" s="22" customFormat="1" ht="9.75" customHeight="1" x14ac:dyDescent="0.2">
      <c r="A31" s="9"/>
      <c r="B31" s="15"/>
      <c r="C31" s="129"/>
      <c r="D31" s="15"/>
      <c r="E31" s="15"/>
      <c r="F31" s="15"/>
      <c r="G31" s="15"/>
      <c r="H31" s="15"/>
      <c r="I31" s="15"/>
      <c r="J31" s="15"/>
      <c r="K31" s="15"/>
      <c r="L31" s="98"/>
      <c r="M31" s="15"/>
      <c r="N31" s="15"/>
      <c r="O31" s="15"/>
      <c r="P31" s="15"/>
      <c r="Q31" s="15"/>
      <c r="R31" s="15"/>
      <c r="S31" s="15"/>
      <c r="T31" s="15"/>
      <c r="U31" s="15"/>
      <c r="V31" s="15"/>
      <c r="W31" s="15"/>
      <c r="X31" s="15"/>
      <c r="Y31" s="15"/>
      <c r="Z31" s="15"/>
      <c r="AA31" s="15"/>
      <c r="AB31" s="15"/>
      <c r="AC31" s="152"/>
      <c r="AD31" s="15"/>
    </row>
    <row r="32" spans="1:32" ht="27.75" customHeight="1" x14ac:dyDescent="0.25">
      <c r="A32" s="16" t="s">
        <v>159</v>
      </c>
      <c r="B32" s="15"/>
      <c r="C32" s="129"/>
      <c r="D32" s="15"/>
      <c r="E32" s="15"/>
      <c r="F32" s="15"/>
      <c r="G32" s="15"/>
      <c r="H32" s="15"/>
      <c r="I32" s="15"/>
      <c r="J32" s="15"/>
      <c r="K32" s="15"/>
      <c r="L32" s="98"/>
      <c r="M32" s="15"/>
      <c r="N32" s="15"/>
      <c r="O32" s="15"/>
      <c r="P32" s="15"/>
      <c r="Q32" s="15"/>
      <c r="R32" s="15"/>
      <c r="S32" s="15"/>
      <c r="T32" s="15"/>
      <c r="U32" s="15"/>
      <c r="V32" s="15"/>
      <c r="W32" s="15"/>
      <c r="X32" s="15"/>
      <c r="Y32" s="15"/>
      <c r="Z32" s="15"/>
      <c r="AA32" s="15"/>
      <c r="AB32" s="15"/>
      <c r="AC32" s="150"/>
      <c r="AD32" s="15"/>
    </row>
    <row r="33" spans="1:32" x14ac:dyDescent="0.2">
      <c r="A33" s="13" t="s">
        <v>37</v>
      </c>
      <c r="B33" s="14">
        <v>5346</v>
      </c>
      <c r="C33" s="14">
        <v>4467</v>
      </c>
      <c r="D33" s="14">
        <v>3856</v>
      </c>
      <c r="E33" s="14">
        <v>5635</v>
      </c>
      <c r="F33" s="14">
        <v>3377</v>
      </c>
      <c r="G33" s="14">
        <v>5109</v>
      </c>
      <c r="H33" s="138">
        <v>1673</v>
      </c>
      <c r="I33" s="14">
        <v>5464</v>
      </c>
      <c r="J33" s="14">
        <v>845</v>
      </c>
      <c r="K33" s="14">
        <v>5715</v>
      </c>
      <c r="L33" s="14">
        <v>4240</v>
      </c>
      <c r="M33" s="14">
        <v>7792</v>
      </c>
      <c r="N33" s="14">
        <v>5998</v>
      </c>
      <c r="O33" s="14">
        <f>2534+3022+617+993</f>
        <v>7166</v>
      </c>
      <c r="P33" s="14">
        <v>1962</v>
      </c>
      <c r="Q33" s="14">
        <v>5485</v>
      </c>
      <c r="R33" s="14">
        <v>6101</v>
      </c>
      <c r="S33" s="14">
        <v>961</v>
      </c>
      <c r="T33" s="14">
        <v>3112</v>
      </c>
      <c r="U33" s="14">
        <v>2213</v>
      </c>
      <c r="V33" s="14">
        <v>4464</v>
      </c>
      <c r="W33" s="14">
        <v>1932</v>
      </c>
      <c r="X33" s="14">
        <v>2542</v>
      </c>
      <c r="Y33" s="14">
        <v>3814</v>
      </c>
      <c r="Z33" s="14">
        <v>1033</v>
      </c>
      <c r="AA33" s="14">
        <v>2067</v>
      </c>
      <c r="AB33" s="14">
        <v>2655</v>
      </c>
      <c r="AC33" s="150"/>
      <c r="AD33" s="61">
        <f>AVERAGE(A33:B33)</f>
        <v>5346</v>
      </c>
      <c r="AF33" s="1">
        <f t="shared" ref="AF33:AF46" si="0">COUNT(B33:AB33)</f>
        <v>27</v>
      </c>
    </row>
    <row r="34" spans="1:32" x14ac:dyDescent="0.2">
      <c r="A34" s="13" t="s">
        <v>38</v>
      </c>
      <c r="B34" s="125">
        <f xml:space="preserve"> 4446/B33</f>
        <v>0.83164983164983164</v>
      </c>
      <c r="C34" s="17">
        <v>0.91600000000000004</v>
      </c>
      <c r="D34" s="17">
        <v>0.91</v>
      </c>
      <c r="E34" s="17">
        <v>0.91190000000000004</v>
      </c>
      <c r="F34" s="17">
        <v>0.9</v>
      </c>
      <c r="G34" s="17">
        <v>0.95</v>
      </c>
      <c r="H34" s="123">
        <v>0.87</v>
      </c>
      <c r="I34" s="17">
        <v>0.74199999999999999</v>
      </c>
      <c r="J34" s="17">
        <v>1</v>
      </c>
      <c r="K34" s="17">
        <v>0.9</v>
      </c>
      <c r="L34" s="17">
        <v>0.82004716981132075</v>
      </c>
      <c r="M34" s="17">
        <v>0.91</v>
      </c>
      <c r="N34" s="17">
        <v>0.65700000000000003</v>
      </c>
      <c r="O34" s="17">
        <f>(2534+3022)/O33</f>
        <v>0.77532793748255646</v>
      </c>
      <c r="P34" s="17">
        <v>0.97</v>
      </c>
      <c r="Q34" s="17">
        <f>(2297+3074)/Q33</f>
        <v>0.97921604375569737</v>
      </c>
      <c r="R34" s="17">
        <v>0.89839999999999998</v>
      </c>
      <c r="S34" s="17">
        <v>0.95699999999999996</v>
      </c>
      <c r="T34" s="17">
        <v>0.66</v>
      </c>
      <c r="U34" s="17">
        <v>0.89300000000000002</v>
      </c>
      <c r="V34" s="17">
        <v>0.86</v>
      </c>
      <c r="W34" s="17">
        <f>1789/W33</f>
        <v>0.92598343685300211</v>
      </c>
      <c r="X34" s="17">
        <v>0.88</v>
      </c>
      <c r="Y34" s="17">
        <v>0.82</v>
      </c>
      <c r="Z34" s="17">
        <v>0.86599999999999999</v>
      </c>
      <c r="AA34" s="17">
        <v>0.73</v>
      </c>
      <c r="AB34" s="17">
        <v>0.79</v>
      </c>
      <c r="AC34" s="150"/>
      <c r="AD34" s="192">
        <f t="shared" ref="AD34:AD42" si="1">AVERAGE(B34:AB34)</f>
        <v>0.86383423776120039</v>
      </c>
      <c r="AF34" s="1">
        <f t="shared" si="0"/>
        <v>27</v>
      </c>
    </row>
    <row r="35" spans="1:32" s="19" customFormat="1" ht="25.5" x14ac:dyDescent="0.2">
      <c r="A35" s="18" t="s">
        <v>151</v>
      </c>
      <c r="B35" s="125">
        <v>0.19600000000000001</v>
      </c>
      <c r="C35" s="17">
        <v>0.21</v>
      </c>
      <c r="D35" s="17">
        <v>0.09</v>
      </c>
      <c r="E35" s="26">
        <v>0.13600000000000001</v>
      </c>
      <c r="F35" s="17">
        <v>0.31</v>
      </c>
      <c r="G35" s="17">
        <v>0.06</v>
      </c>
      <c r="H35" s="123">
        <v>0.16</v>
      </c>
      <c r="I35" s="17">
        <v>0.26</v>
      </c>
      <c r="J35" s="17">
        <v>0.23</v>
      </c>
      <c r="K35" s="17">
        <v>0.23</v>
      </c>
      <c r="L35" s="17">
        <v>0.12712712712712712</v>
      </c>
      <c r="M35" s="17">
        <v>0.31</v>
      </c>
      <c r="N35" s="17">
        <v>0.153</v>
      </c>
      <c r="O35" s="17">
        <f>678/O33</f>
        <v>9.4613452414178068E-2</v>
      </c>
      <c r="P35" s="17">
        <v>0.18</v>
      </c>
      <c r="Q35" s="17">
        <f>(270+130+10+359+7+123)/Q33</f>
        <v>0.16390154968094803</v>
      </c>
      <c r="R35" s="17">
        <v>0.1009</v>
      </c>
      <c r="S35" s="36"/>
      <c r="T35" s="17">
        <v>0.19</v>
      </c>
      <c r="U35" s="17">
        <v>0.05</v>
      </c>
      <c r="V35" s="17">
        <v>0.24</v>
      </c>
      <c r="W35" s="17">
        <v>0.20100000000000001</v>
      </c>
      <c r="X35" s="17">
        <v>0.19</v>
      </c>
      <c r="Y35" s="17">
        <v>0.09</v>
      </c>
      <c r="Z35" s="17">
        <v>0.22500000000000001</v>
      </c>
      <c r="AA35" s="17">
        <v>0.13</v>
      </c>
      <c r="AB35" s="17">
        <v>0.09</v>
      </c>
      <c r="AC35" s="151"/>
      <c r="AD35" s="192">
        <f t="shared" si="1"/>
        <v>0.16990546650854818</v>
      </c>
      <c r="AF35" s="19">
        <f t="shared" si="0"/>
        <v>26</v>
      </c>
    </row>
    <row r="36" spans="1:32" ht="12.75" customHeight="1" x14ac:dyDescent="0.2">
      <c r="A36" s="13" t="s">
        <v>39</v>
      </c>
      <c r="B36" s="125">
        <v>0.53100000000000003</v>
      </c>
      <c r="C36" s="17">
        <v>0.54</v>
      </c>
      <c r="D36" s="17">
        <v>0.48</v>
      </c>
      <c r="E36" s="17">
        <v>0.59519999999999995</v>
      </c>
      <c r="F36" s="17">
        <v>0.56000000000000005</v>
      </c>
      <c r="G36" s="17">
        <v>0.6</v>
      </c>
      <c r="H36" s="123">
        <v>0.57999999999999996</v>
      </c>
      <c r="I36" s="17">
        <v>0.58299999999999996</v>
      </c>
      <c r="J36" s="17">
        <v>0.61</v>
      </c>
      <c r="K36" s="17">
        <v>0.57999999999999996</v>
      </c>
      <c r="L36" s="17">
        <v>0.57735849056603772</v>
      </c>
      <c r="M36" s="17">
        <v>0.6</v>
      </c>
      <c r="N36" s="17">
        <v>0.57299999999999995</v>
      </c>
      <c r="O36" s="17">
        <f>(3022+993)/O33</f>
        <v>0.56028467764443202</v>
      </c>
      <c r="P36" s="17">
        <v>0.59</v>
      </c>
      <c r="Q36" s="17">
        <f>(3074+59)/Q33</f>
        <v>0.5711941659070191</v>
      </c>
      <c r="R36" s="17">
        <v>0.55859999999999999</v>
      </c>
      <c r="S36" s="17">
        <v>0.58199999999999996</v>
      </c>
      <c r="T36" s="17">
        <v>0.53</v>
      </c>
      <c r="U36" s="17">
        <v>0.65</v>
      </c>
      <c r="V36" s="17">
        <v>0.64</v>
      </c>
      <c r="W36" s="17">
        <v>0.55000000000000004</v>
      </c>
      <c r="X36" s="17">
        <v>0.66</v>
      </c>
      <c r="Y36" s="17">
        <v>0.56000000000000005</v>
      </c>
      <c r="Z36" s="17">
        <v>0.621</v>
      </c>
      <c r="AA36" s="17">
        <v>0.56000000000000005</v>
      </c>
      <c r="AB36" s="17">
        <v>0.56000000000000005</v>
      </c>
      <c r="AC36" s="150"/>
      <c r="AD36" s="192">
        <f t="shared" si="1"/>
        <v>0.57787545681916641</v>
      </c>
      <c r="AF36" s="1">
        <f t="shared" si="0"/>
        <v>27</v>
      </c>
    </row>
    <row r="37" spans="1:32" ht="12.75" customHeight="1" x14ac:dyDescent="0.2">
      <c r="A37" s="13" t="s">
        <v>40</v>
      </c>
      <c r="B37" s="125">
        <v>0.46899999999999997</v>
      </c>
      <c r="C37" s="17">
        <v>0.45900000000000002</v>
      </c>
      <c r="D37" s="17">
        <v>0.52</v>
      </c>
      <c r="E37" s="17">
        <v>0.4047</v>
      </c>
      <c r="F37" s="17">
        <v>0.44</v>
      </c>
      <c r="G37" s="17">
        <v>0.45</v>
      </c>
      <c r="H37" s="123">
        <v>0.42</v>
      </c>
      <c r="I37" s="17">
        <v>0.41699999999999998</v>
      </c>
      <c r="J37" s="17">
        <v>0.39</v>
      </c>
      <c r="K37" s="17">
        <v>0.42</v>
      </c>
      <c r="L37" s="17">
        <v>0.42264150943396228</v>
      </c>
      <c r="M37" s="17">
        <v>0.4</v>
      </c>
      <c r="N37" s="17">
        <v>0.42599999999999999</v>
      </c>
      <c r="O37" s="17">
        <f>(2534+617)/O33</f>
        <v>0.43971532235556798</v>
      </c>
      <c r="P37" s="17">
        <v>0.41</v>
      </c>
      <c r="Q37" s="17">
        <f>(2297+55)/Q33</f>
        <v>0.42880583409298084</v>
      </c>
      <c r="R37" s="17">
        <v>0.38879999999999998</v>
      </c>
      <c r="S37" s="17">
        <v>0.41699999999999998</v>
      </c>
      <c r="T37" s="17">
        <v>0.47</v>
      </c>
      <c r="U37" s="17">
        <v>0.35</v>
      </c>
      <c r="V37" s="17">
        <v>0.36</v>
      </c>
      <c r="W37" s="17">
        <v>0.45</v>
      </c>
      <c r="X37" s="17">
        <v>0.34</v>
      </c>
      <c r="Y37" s="17">
        <v>0.44</v>
      </c>
      <c r="Z37" s="17">
        <v>0.379</v>
      </c>
      <c r="AA37" s="17">
        <v>0.44</v>
      </c>
      <c r="AB37" s="17">
        <v>0.44</v>
      </c>
      <c r="AC37" s="150"/>
      <c r="AD37" s="192">
        <f t="shared" si="1"/>
        <v>0.42191343206972254</v>
      </c>
      <c r="AF37" s="1">
        <f t="shared" si="0"/>
        <v>27</v>
      </c>
    </row>
    <row r="38" spans="1:32" s="19" customFormat="1" ht="12.75" customHeight="1" x14ac:dyDescent="0.2">
      <c r="A38" s="13" t="s">
        <v>41</v>
      </c>
      <c r="B38" s="125">
        <f xml:space="preserve"> 5038/5346</f>
        <v>0.9423868312757202</v>
      </c>
      <c r="C38" s="17">
        <v>0.745</v>
      </c>
      <c r="D38" s="17">
        <v>0.62</v>
      </c>
      <c r="E38" s="26">
        <v>0.98</v>
      </c>
      <c r="F38" s="17">
        <v>0.86</v>
      </c>
      <c r="G38" s="17">
        <v>0.55000000000000004</v>
      </c>
      <c r="H38" s="123">
        <v>0.77</v>
      </c>
      <c r="I38" s="17">
        <v>0.85</v>
      </c>
      <c r="J38" s="17">
        <v>0.79</v>
      </c>
      <c r="K38" s="17">
        <v>0.96</v>
      </c>
      <c r="L38" s="17">
        <v>0.59386792452830184</v>
      </c>
      <c r="M38" s="17">
        <v>0.99</v>
      </c>
      <c r="N38" s="17">
        <v>0.69</v>
      </c>
      <c r="O38" s="17">
        <f>5685/O33</f>
        <v>0.79332961205693553</v>
      </c>
      <c r="P38" s="17">
        <v>0.87</v>
      </c>
      <c r="Q38" s="17">
        <v>0.98</v>
      </c>
      <c r="R38" s="17">
        <v>0.747</v>
      </c>
      <c r="S38" s="17">
        <v>0.874</v>
      </c>
      <c r="T38" s="17">
        <v>0.89</v>
      </c>
      <c r="U38" s="17">
        <v>0.88</v>
      </c>
      <c r="V38" s="17">
        <v>0.85</v>
      </c>
      <c r="W38" s="17">
        <v>0.81499999999999995</v>
      </c>
      <c r="X38" s="17">
        <v>0.95</v>
      </c>
      <c r="Y38" s="17">
        <v>0.88</v>
      </c>
      <c r="Z38" s="17">
        <v>0.214</v>
      </c>
      <c r="AA38" s="17">
        <v>0.94</v>
      </c>
      <c r="AB38" s="17">
        <v>0.54</v>
      </c>
      <c r="AC38" s="151"/>
      <c r="AD38" s="192">
        <f t="shared" si="1"/>
        <v>0.79868830992077611</v>
      </c>
      <c r="AF38" s="19">
        <f t="shared" si="0"/>
        <v>27</v>
      </c>
    </row>
    <row r="39" spans="1:32" ht="12.75" customHeight="1" x14ac:dyDescent="0.2">
      <c r="A39" s="13" t="s">
        <v>42</v>
      </c>
      <c r="B39" s="125">
        <f xml:space="preserve"> 1 - B38</f>
        <v>5.7613168724279795E-2</v>
      </c>
      <c r="C39" s="17">
        <v>0.25</v>
      </c>
      <c r="D39" s="17">
        <v>0.38</v>
      </c>
      <c r="E39" s="26">
        <v>0.02</v>
      </c>
      <c r="F39" s="17">
        <v>0.14000000000000001</v>
      </c>
      <c r="G39" s="17">
        <v>0.5</v>
      </c>
      <c r="H39" s="123">
        <v>0.23</v>
      </c>
      <c r="I39" s="17">
        <v>7.3999999999999996E-2</v>
      </c>
      <c r="J39" s="17">
        <v>0.21</v>
      </c>
      <c r="K39" s="17">
        <v>0.04</v>
      </c>
      <c r="L39" s="17">
        <v>0.40613207547169811</v>
      </c>
      <c r="M39" s="17">
        <v>0.01</v>
      </c>
      <c r="N39" s="17">
        <v>0.31</v>
      </c>
      <c r="O39" s="17">
        <f>1079/O33</f>
        <v>0.15057214624616244</v>
      </c>
      <c r="P39" s="17">
        <v>0.13</v>
      </c>
      <c r="Q39" s="17">
        <v>0.02</v>
      </c>
      <c r="R39" s="17">
        <v>0.1996</v>
      </c>
      <c r="S39" s="17">
        <v>0.125</v>
      </c>
      <c r="T39" s="17">
        <v>0.11</v>
      </c>
      <c r="U39" s="17">
        <v>0.12</v>
      </c>
      <c r="V39" s="17">
        <v>0.15</v>
      </c>
      <c r="W39" s="17">
        <v>0.11</v>
      </c>
      <c r="X39" s="17">
        <v>0.05</v>
      </c>
      <c r="Y39" s="17">
        <v>0.12</v>
      </c>
      <c r="Z39" s="17">
        <v>7.3999999999999996E-2</v>
      </c>
      <c r="AA39" s="17">
        <v>0.06</v>
      </c>
      <c r="AB39" s="17">
        <v>0.46</v>
      </c>
      <c r="AC39" s="150"/>
      <c r="AD39" s="192">
        <f t="shared" si="1"/>
        <v>0.16692286631267184</v>
      </c>
      <c r="AF39" s="19">
        <f t="shared" si="0"/>
        <v>27</v>
      </c>
    </row>
    <row r="40" spans="1:32" ht="12.75" customHeight="1" x14ac:dyDescent="0.2">
      <c r="A40" s="13" t="s">
        <v>43</v>
      </c>
      <c r="B40" s="125">
        <f xml:space="preserve"> 614/5047</f>
        <v>0.12165642956211611</v>
      </c>
      <c r="C40" s="17">
        <v>0.33</v>
      </c>
      <c r="D40" s="17">
        <v>0.18</v>
      </c>
      <c r="E40" s="17">
        <v>0.04</v>
      </c>
      <c r="F40" s="17">
        <v>0.17</v>
      </c>
      <c r="G40" s="17">
        <v>0.04</v>
      </c>
      <c r="H40" s="123">
        <v>0.15</v>
      </c>
      <c r="I40" s="17">
        <v>0.28799999999999998</v>
      </c>
      <c r="J40" s="17">
        <v>0.02</v>
      </c>
      <c r="K40" s="17">
        <v>0.1</v>
      </c>
      <c r="L40" s="17">
        <v>0.19</v>
      </c>
      <c r="M40" s="17">
        <v>0.11</v>
      </c>
      <c r="N40" s="17">
        <v>0.28000000000000003</v>
      </c>
      <c r="O40" s="17">
        <v>0.20200000000000001</v>
      </c>
      <c r="P40" s="17">
        <v>0.02</v>
      </c>
      <c r="Q40" s="17">
        <v>0.03</v>
      </c>
      <c r="R40" s="17">
        <v>0.01</v>
      </c>
      <c r="S40" s="17">
        <v>0.06</v>
      </c>
      <c r="T40" s="17">
        <v>0.41</v>
      </c>
      <c r="U40" s="17">
        <v>0.15</v>
      </c>
      <c r="V40" s="17">
        <v>0.12</v>
      </c>
      <c r="W40" s="17">
        <v>0.05</v>
      </c>
      <c r="X40" s="17">
        <v>0.14000000000000001</v>
      </c>
      <c r="Y40" s="17">
        <v>0.15</v>
      </c>
      <c r="Z40" s="17">
        <v>0.214</v>
      </c>
      <c r="AA40" s="17">
        <v>0.28000000000000003</v>
      </c>
      <c r="AB40" s="17">
        <v>0.3</v>
      </c>
      <c r="AC40" s="150"/>
      <c r="AD40" s="192">
        <f t="shared" si="1"/>
        <v>0.15391320109489318</v>
      </c>
      <c r="AF40" s="19">
        <f t="shared" si="0"/>
        <v>27</v>
      </c>
    </row>
    <row r="41" spans="1:32" ht="12.75" customHeight="1" x14ac:dyDescent="0.2">
      <c r="A41" s="13" t="s">
        <v>44</v>
      </c>
      <c r="B41" s="125">
        <f xml:space="preserve"> 2611/5047</f>
        <v>0.51733703190013869</v>
      </c>
      <c r="C41" s="17">
        <v>0.2</v>
      </c>
      <c r="D41" s="17">
        <v>0.34</v>
      </c>
      <c r="E41" s="17">
        <v>0.36</v>
      </c>
      <c r="F41" s="17">
        <v>0.41</v>
      </c>
      <c r="G41" s="17">
        <v>0.54</v>
      </c>
      <c r="H41" s="123">
        <v>0.67</v>
      </c>
      <c r="I41" s="17">
        <v>0.223</v>
      </c>
      <c r="J41" s="17">
        <v>0.78</v>
      </c>
      <c r="K41" s="17">
        <v>0.53</v>
      </c>
      <c r="L41" s="17">
        <v>0.33</v>
      </c>
      <c r="M41" s="17">
        <v>0.39</v>
      </c>
      <c r="N41" s="17">
        <v>0.27</v>
      </c>
      <c r="O41" s="17">
        <v>0.13100000000000001</v>
      </c>
      <c r="P41" s="17">
        <v>0.86</v>
      </c>
      <c r="Q41" s="17">
        <v>0.53</v>
      </c>
      <c r="R41" s="17">
        <v>0.49</v>
      </c>
      <c r="S41" s="17">
        <v>0.44</v>
      </c>
      <c r="T41" s="17">
        <v>0.27</v>
      </c>
      <c r="U41" s="17">
        <v>0.5</v>
      </c>
      <c r="V41" s="17">
        <v>0.6</v>
      </c>
      <c r="W41" s="17">
        <v>0.51</v>
      </c>
      <c r="X41" s="17">
        <v>0.46</v>
      </c>
      <c r="Y41" s="17">
        <v>0.33</v>
      </c>
      <c r="Z41" s="17">
        <v>0.52</v>
      </c>
      <c r="AA41" s="17">
        <v>0.34</v>
      </c>
      <c r="AB41" s="17">
        <v>0.26</v>
      </c>
      <c r="AC41" s="150"/>
      <c r="AD41" s="192">
        <f t="shared" si="1"/>
        <v>0.43708655673704216</v>
      </c>
      <c r="AF41" s="19">
        <f t="shared" si="0"/>
        <v>27</v>
      </c>
    </row>
    <row r="42" spans="1:32" s="37" customFormat="1" ht="23.25" customHeight="1" x14ac:dyDescent="0.2">
      <c r="A42" s="18" t="s">
        <v>45</v>
      </c>
      <c r="B42" s="23">
        <v>505</v>
      </c>
      <c r="C42" s="23">
        <v>937</v>
      </c>
      <c r="D42" s="23">
        <v>379</v>
      </c>
      <c r="E42" s="23">
        <v>355</v>
      </c>
      <c r="F42" s="23">
        <v>304</v>
      </c>
      <c r="G42" s="23">
        <v>196</v>
      </c>
      <c r="H42" s="139">
        <v>188</v>
      </c>
      <c r="I42" s="23">
        <v>561</v>
      </c>
      <c r="J42" s="23">
        <v>33</v>
      </c>
      <c r="K42" s="23">
        <v>596</v>
      </c>
      <c r="L42" s="23">
        <v>426</v>
      </c>
      <c r="M42" s="23">
        <v>672</v>
      </c>
      <c r="N42" s="23">
        <v>782</v>
      </c>
      <c r="O42" s="23">
        <v>369</v>
      </c>
      <c r="P42" s="23">
        <v>87</v>
      </c>
      <c r="Q42" s="23">
        <v>387</v>
      </c>
      <c r="R42" s="23">
        <v>210</v>
      </c>
      <c r="S42" s="23">
        <v>51</v>
      </c>
      <c r="T42" s="23">
        <v>606</v>
      </c>
      <c r="U42" s="23">
        <v>94</v>
      </c>
      <c r="V42" s="23">
        <v>243</v>
      </c>
      <c r="W42" s="23">
        <v>126</v>
      </c>
      <c r="X42" s="23">
        <v>189</v>
      </c>
      <c r="Y42" s="23">
        <v>330</v>
      </c>
      <c r="Z42" s="23">
        <v>119</v>
      </c>
      <c r="AA42" s="23">
        <v>128</v>
      </c>
      <c r="AB42" s="23">
        <v>295</v>
      </c>
      <c r="AC42" s="151"/>
      <c r="AD42" s="124">
        <f t="shared" si="1"/>
        <v>339.55555555555554</v>
      </c>
      <c r="AF42" s="37">
        <f t="shared" si="0"/>
        <v>27</v>
      </c>
    </row>
    <row r="43" spans="1:32" s="38" customFormat="1" x14ac:dyDescent="0.2">
      <c r="A43" s="13" t="s">
        <v>46</v>
      </c>
      <c r="B43" s="14">
        <v>240</v>
      </c>
      <c r="C43" s="14">
        <v>327</v>
      </c>
      <c r="D43" s="14"/>
      <c r="E43" s="14">
        <v>1001</v>
      </c>
      <c r="F43" s="14">
        <v>397</v>
      </c>
      <c r="G43" s="14">
        <v>138</v>
      </c>
      <c r="H43" s="138">
        <v>213</v>
      </c>
      <c r="I43" s="14">
        <v>717</v>
      </c>
      <c r="J43" s="14">
        <v>0</v>
      </c>
      <c r="K43" s="14">
        <v>211</v>
      </c>
      <c r="L43" s="14">
        <v>153</v>
      </c>
      <c r="M43" s="14">
        <v>876</v>
      </c>
      <c r="N43" s="14">
        <v>857</v>
      </c>
      <c r="O43" s="14">
        <v>584</v>
      </c>
      <c r="P43" s="14">
        <v>30</v>
      </c>
      <c r="Q43" s="14">
        <v>198</v>
      </c>
      <c r="R43" s="14">
        <v>321</v>
      </c>
      <c r="S43" s="14"/>
      <c r="T43" s="14">
        <v>2025</v>
      </c>
      <c r="U43" s="14">
        <v>56</v>
      </c>
      <c r="V43" s="14">
        <v>706</v>
      </c>
      <c r="W43" s="14"/>
      <c r="X43" s="14">
        <v>525</v>
      </c>
      <c r="Y43" s="14">
        <v>49</v>
      </c>
      <c r="Z43" s="14"/>
      <c r="AA43" s="14"/>
      <c r="AB43" s="14">
        <v>170</v>
      </c>
      <c r="AC43" s="150"/>
      <c r="AD43" s="120">
        <v>461</v>
      </c>
      <c r="AF43" s="37">
        <f t="shared" si="0"/>
        <v>22</v>
      </c>
    </row>
    <row r="44" spans="1:32" s="38" customFormat="1" ht="11.25" customHeight="1" x14ac:dyDescent="0.2">
      <c r="A44" s="13" t="s">
        <v>47</v>
      </c>
      <c r="B44" s="39">
        <f xml:space="preserve"> B45 + B46</f>
        <v>4816.1000000000004</v>
      </c>
      <c r="C44" s="39">
        <v>4822</v>
      </c>
      <c r="D44" s="39"/>
      <c r="E44" s="39">
        <v>5847.2915999999996</v>
      </c>
      <c r="F44" s="39">
        <f>SUM(F45:F46)</f>
        <v>3349</v>
      </c>
      <c r="G44" s="39">
        <v>5304</v>
      </c>
      <c r="H44" s="140">
        <v>1617.4</v>
      </c>
      <c r="I44" s="39">
        <v>4751</v>
      </c>
      <c r="J44" s="39">
        <v>1070.9000000000001</v>
      </c>
      <c r="K44" s="23">
        <v>5297</v>
      </c>
      <c r="L44" s="39">
        <v>3836.55</v>
      </c>
      <c r="M44" s="39">
        <v>7994.47</v>
      </c>
      <c r="N44" s="127">
        <v>4262.6000000000004</v>
      </c>
      <c r="O44" s="39"/>
      <c r="P44" s="126">
        <v>2000.6</v>
      </c>
      <c r="Q44" s="39">
        <f>Q45+Q46</f>
        <v>5465.6833333333334</v>
      </c>
      <c r="R44" s="39">
        <v>5671</v>
      </c>
      <c r="S44" s="39">
        <v>831.4</v>
      </c>
      <c r="T44" s="39">
        <v>3599.5</v>
      </c>
      <c r="U44" s="39">
        <f>SUM(U45:U46)</f>
        <v>1980</v>
      </c>
      <c r="V44" s="39">
        <v>4352.1000000000004</v>
      </c>
      <c r="W44" s="39">
        <v>1898.3</v>
      </c>
      <c r="X44" s="39">
        <v>2563</v>
      </c>
      <c r="Y44" s="127">
        <v>3233.9</v>
      </c>
      <c r="Z44" s="39">
        <v>907.5</v>
      </c>
      <c r="AA44" s="39">
        <v>1651</v>
      </c>
      <c r="AB44" s="39">
        <v>2321</v>
      </c>
      <c r="AC44" s="150"/>
      <c r="AD44" s="127">
        <f>AVERAGE(B44:AB44)</f>
        <v>3577.7317973333334</v>
      </c>
      <c r="AF44" s="37">
        <f t="shared" si="0"/>
        <v>25</v>
      </c>
    </row>
    <row r="45" spans="1:32" s="38" customFormat="1" x14ac:dyDescent="0.2">
      <c r="A45" s="13" t="s">
        <v>48</v>
      </c>
      <c r="B45" s="39">
        <v>4708.3</v>
      </c>
      <c r="C45" s="39">
        <v>4484.8999999999996</v>
      </c>
      <c r="D45" s="39"/>
      <c r="E45" s="39">
        <v>5187.5</v>
      </c>
      <c r="F45" s="39">
        <v>3156</v>
      </c>
      <c r="G45" s="39">
        <v>5238</v>
      </c>
      <c r="H45" s="140">
        <v>1538.5</v>
      </c>
      <c r="I45" s="39">
        <v>4395</v>
      </c>
      <c r="J45" s="39">
        <v>1070.9000000000001</v>
      </c>
      <c r="K45" s="23">
        <v>5200</v>
      </c>
      <c r="L45" s="39">
        <v>3758.63</v>
      </c>
      <c r="M45" s="39">
        <v>7384.68</v>
      </c>
      <c r="N45" s="127">
        <v>3955.2</v>
      </c>
      <c r="O45" s="39">
        <v>5902</v>
      </c>
      <c r="P45" s="14">
        <v>1960.1</v>
      </c>
      <c r="Q45" s="39">
        <f>79979/15</f>
        <v>5331.9333333333334</v>
      </c>
      <c r="R45" s="39">
        <v>5413</v>
      </c>
      <c r="S45" s="39">
        <v>831.4</v>
      </c>
      <c r="T45" s="39">
        <v>2431.6999999999998</v>
      </c>
      <c r="U45" s="39">
        <v>1926</v>
      </c>
      <c r="V45" s="39">
        <v>3990.9</v>
      </c>
      <c r="W45" s="39">
        <v>1898.3</v>
      </c>
      <c r="X45" s="39">
        <v>2275</v>
      </c>
      <c r="Y45" s="127">
        <v>3212.9</v>
      </c>
      <c r="Z45" s="39">
        <v>907.5</v>
      </c>
      <c r="AA45" s="39">
        <v>1651</v>
      </c>
      <c r="AB45" s="39">
        <v>2223</v>
      </c>
      <c r="AC45" s="150"/>
      <c r="AD45" s="127">
        <f>AVERAGE(B45:AB45)</f>
        <v>3462.7824358974353</v>
      </c>
      <c r="AF45" s="37">
        <f t="shared" si="0"/>
        <v>26</v>
      </c>
    </row>
    <row r="46" spans="1:32" s="38" customFormat="1" ht="11.25" customHeight="1" x14ac:dyDescent="0.2">
      <c r="A46" s="13" t="s">
        <v>49</v>
      </c>
      <c r="B46" s="35">
        <v>107.8</v>
      </c>
      <c r="C46" s="35">
        <v>337.1</v>
      </c>
      <c r="D46" s="35"/>
      <c r="E46" s="35">
        <v>626.79</v>
      </c>
      <c r="F46" s="35">
        <v>193</v>
      </c>
      <c r="G46" s="35">
        <v>66</v>
      </c>
      <c r="H46" s="141">
        <v>78.900000000000006</v>
      </c>
      <c r="I46" s="35">
        <v>356</v>
      </c>
      <c r="J46" s="35">
        <v>0</v>
      </c>
      <c r="K46" s="23">
        <v>97</v>
      </c>
      <c r="L46" s="35">
        <v>77.92</v>
      </c>
      <c r="M46" s="35">
        <v>609.99</v>
      </c>
      <c r="N46" s="114">
        <v>307.39999999999998</v>
      </c>
      <c r="O46" s="35">
        <v>295</v>
      </c>
      <c r="P46" s="14">
        <v>40.5</v>
      </c>
      <c r="Q46" s="35">
        <v>133.75</v>
      </c>
      <c r="R46" s="35">
        <v>258</v>
      </c>
      <c r="S46" s="35"/>
      <c r="T46" s="39">
        <v>1167.8</v>
      </c>
      <c r="U46" s="35">
        <v>54</v>
      </c>
      <c r="V46" s="35">
        <v>361.2</v>
      </c>
      <c r="W46" s="35"/>
      <c r="X46" s="35">
        <v>288</v>
      </c>
      <c r="Y46" s="114">
        <v>21</v>
      </c>
      <c r="Z46" s="35"/>
      <c r="AA46" s="35"/>
      <c r="AB46" s="35">
        <v>98</v>
      </c>
      <c r="AC46" s="150"/>
      <c r="AD46" s="114">
        <v>264</v>
      </c>
      <c r="AF46" s="37">
        <f t="shared" si="0"/>
        <v>22</v>
      </c>
    </row>
    <row r="47" spans="1:32" s="42" customFormat="1" ht="9.75" customHeight="1" x14ac:dyDescent="0.2">
      <c r="A47" s="41"/>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153"/>
      <c r="AD47" s="189"/>
    </row>
    <row r="48" spans="1:32" s="45" customFormat="1" ht="54" customHeight="1" x14ac:dyDescent="0.2">
      <c r="A48" s="43" t="s">
        <v>155</v>
      </c>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154"/>
      <c r="AD48" s="188"/>
    </row>
    <row r="49" spans="1:4" x14ac:dyDescent="0.2">
      <c r="A49" s="1"/>
      <c r="B49" s="1"/>
      <c r="C49" s="1"/>
      <c r="D49" s="1"/>
    </row>
    <row r="50" spans="1:4" ht="89.25" x14ac:dyDescent="0.2">
      <c r="A50" s="46" t="s">
        <v>50</v>
      </c>
      <c r="B50" s="1"/>
      <c r="C50" s="1"/>
      <c r="D50" s="1"/>
    </row>
    <row r="51" spans="1:4" x14ac:dyDescent="0.2">
      <c r="A51" s="1"/>
      <c r="B51" s="1"/>
      <c r="C51" s="1"/>
      <c r="D51" s="1"/>
    </row>
    <row r="52" spans="1:4" x14ac:dyDescent="0.2">
      <c r="A52" s="1"/>
      <c r="B52" s="1"/>
      <c r="C52" s="1"/>
      <c r="D52" s="1"/>
    </row>
    <row r="53" spans="1:4" x14ac:dyDescent="0.2">
      <c r="A53" s="1"/>
      <c r="B53" s="1"/>
      <c r="C53" s="1"/>
      <c r="D53" s="1"/>
    </row>
    <row r="54" spans="1:4" x14ac:dyDescent="0.2">
      <c r="A54" s="1"/>
      <c r="B54" s="1"/>
      <c r="C54" s="1"/>
      <c r="D54" s="1"/>
    </row>
    <row r="55" spans="1:4" x14ac:dyDescent="0.2">
      <c r="A55" s="1"/>
      <c r="B55" s="1"/>
      <c r="C55" s="1"/>
      <c r="D55" s="1"/>
    </row>
    <row r="56" spans="1:4" x14ac:dyDescent="0.2">
      <c r="A56" s="1"/>
      <c r="B56" s="1"/>
      <c r="C56" s="1"/>
      <c r="D56" s="1"/>
    </row>
    <row r="57" spans="1:4" x14ac:dyDescent="0.2">
      <c r="A57" s="1"/>
      <c r="B57" s="1"/>
      <c r="C57" s="1"/>
      <c r="D57" s="1"/>
    </row>
    <row r="58" spans="1:4" x14ac:dyDescent="0.2">
      <c r="A58" s="1"/>
      <c r="B58" s="1"/>
      <c r="C58" s="1"/>
      <c r="D58" s="1"/>
    </row>
    <row r="59" spans="1:4" x14ac:dyDescent="0.2">
      <c r="A59" s="1"/>
      <c r="B59" s="1"/>
      <c r="C59" s="1"/>
      <c r="D59" s="1"/>
    </row>
    <row r="60" spans="1:4" x14ac:dyDescent="0.2">
      <c r="A60" s="1"/>
      <c r="B60" s="1"/>
      <c r="C60" s="1"/>
      <c r="D60" s="1"/>
    </row>
    <row r="61" spans="1:4" x14ac:dyDescent="0.2">
      <c r="A61" s="1"/>
      <c r="B61" s="1"/>
      <c r="C61" s="1"/>
      <c r="D61" s="1"/>
    </row>
    <row r="62" spans="1:4" x14ac:dyDescent="0.2">
      <c r="A62" s="1"/>
      <c r="B62" s="1"/>
      <c r="C62" s="1"/>
      <c r="D62" s="1"/>
    </row>
    <row r="63" spans="1:4" x14ac:dyDescent="0.2">
      <c r="A63" s="1"/>
      <c r="B63" s="1"/>
      <c r="C63" s="1"/>
      <c r="D63" s="1"/>
    </row>
    <row r="64" spans="1:4" x14ac:dyDescent="0.2">
      <c r="A64" s="1"/>
      <c r="B64" s="1"/>
      <c r="C64" s="1"/>
      <c r="D64" s="1"/>
    </row>
    <row r="65" spans="1:4" x14ac:dyDescent="0.2">
      <c r="A65" s="1"/>
      <c r="B65" s="1"/>
      <c r="C65" s="1"/>
      <c r="D65" s="1"/>
    </row>
    <row r="66" spans="1:4" x14ac:dyDescent="0.2">
      <c r="A66" s="1"/>
      <c r="B66" s="1"/>
      <c r="C66" s="1"/>
      <c r="D66" s="1"/>
    </row>
    <row r="67" spans="1:4" x14ac:dyDescent="0.2">
      <c r="A67" s="1"/>
      <c r="B67" s="1"/>
      <c r="C67" s="1"/>
      <c r="D67" s="1"/>
    </row>
    <row r="68" spans="1:4" x14ac:dyDescent="0.2">
      <c r="A68" s="1"/>
      <c r="B68" s="1"/>
      <c r="C68" s="1"/>
      <c r="D68" s="1"/>
    </row>
    <row r="69" spans="1:4" x14ac:dyDescent="0.2">
      <c r="A69" s="1"/>
      <c r="B69" s="1"/>
      <c r="C69" s="1"/>
      <c r="D69" s="1"/>
    </row>
    <row r="70" spans="1:4" x14ac:dyDescent="0.2">
      <c r="A70" s="1"/>
      <c r="B70" s="1"/>
      <c r="C70" s="1"/>
      <c r="D70" s="1"/>
    </row>
    <row r="71" spans="1:4" x14ac:dyDescent="0.2">
      <c r="A71" s="1"/>
      <c r="B71" s="1"/>
      <c r="C71" s="1"/>
      <c r="D71" s="1"/>
    </row>
    <row r="72" spans="1:4" x14ac:dyDescent="0.2">
      <c r="A72" s="1"/>
      <c r="B72" s="1"/>
      <c r="C72" s="1"/>
      <c r="D72" s="1"/>
    </row>
    <row r="73" spans="1:4" x14ac:dyDescent="0.2">
      <c r="A73" s="1"/>
      <c r="B73" s="1"/>
      <c r="C73" s="1"/>
      <c r="D73" s="1"/>
    </row>
    <row r="74" spans="1:4" x14ac:dyDescent="0.2">
      <c r="A74" s="1"/>
      <c r="B74" s="1"/>
      <c r="C74" s="1"/>
      <c r="D74" s="1"/>
    </row>
    <row r="75" spans="1:4" x14ac:dyDescent="0.2">
      <c r="A75" s="1"/>
      <c r="B75" s="1"/>
      <c r="C75" s="1"/>
      <c r="D75" s="1"/>
    </row>
    <row r="76" spans="1:4" x14ac:dyDescent="0.2">
      <c r="A76" s="1"/>
      <c r="B76" s="1"/>
      <c r="C76" s="1"/>
      <c r="D76" s="1"/>
    </row>
    <row r="77" spans="1:4" x14ac:dyDescent="0.2">
      <c r="A77" s="1"/>
      <c r="B77" s="1"/>
      <c r="C77" s="1"/>
      <c r="D77" s="1"/>
    </row>
    <row r="78" spans="1:4" x14ac:dyDescent="0.2">
      <c r="A78" s="1"/>
      <c r="B78" s="1"/>
      <c r="C78" s="1"/>
      <c r="D78" s="1"/>
    </row>
    <row r="79" spans="1:4" x14ac:dyDescent="0.2">
      <c r="A79" s="1"/>
      <c r="B79" s="1"/>
      <c r="C79" s="1"/>
      <c r="D79" s="1"/>
    </row>
    <row r="80" spans="1:4" x14ac:dyDescent="0.2">
      <c r="A80" s="1"/>
      <c r="B80" s="1"/>
      <c r="C80" s="1"/>
      <c r="D80" s="1"/>
    </row>
    <row r="81" spans="1:4" ht="12.75" customHeight="1" x14ac:dyDescent="0.2">
      <c r="A81" s="1"/>
      <c r="B81" s="1"/>
      <c r="C81" s="1"/>
      <c r="D81" s="1"/>
    </row>
    <row r="82" spans="1:4" ht="12.75" customHeight="1" x14ac:dyDescent="0.2">
      <c r="A82" s="1"/>
      <c r="B82" s="1"/>
      <c r="C82" s="1"/>
      <c r="D82" s="1"/>
    </row>
    <row r="83" spans="1:4" ht="12.75" customHeight="1" x14ac:dyDescent="0.2">
      <c r="A83" s="1"/>
      <c r="B83" s="1"/>
      <c r="C83" s="1"/>
      <c r="D83" s="1"/>
    </row>
    <row r="84" spans="1:4" ht="12.75" customHeight="1" x14ac:dyDescent="0.2">
      <c r="A84" s="1"/>
      <c r="B84" s="1"/>
      <c r="C84" s="1"/>
      <c r="D84" s="1"/>
    </row>
    <row r="85" spans="1:4" ht="12.75" customHeight="1" x14ac:dyDescent="0.2">
      <c r="A85" s="1"/>
      <c r="B85" s="1"/>
      <c r="C85" s="1"/>
      <c r="D85" s="1"/>
    </row>
    <row r="86" spans="1:4" ht="56.25" customHeight="1" x14ac:dyDescent="0.2">
      <c r="A86" s="1"/>
      <c r="B86" s="1"/>
      <c r="C86" s="1"/>
      <c r="D86" s="1"/>
    </row>
    <row r="87" spans="1:4" x14ac:dyDescent="0.2">
      <c r="A87" s="1"/>
      <c r="B87" s="1"/>
      <c r="C87" s="1"/>
      <c r="D87" s="1"/>
    </row>
    <row r="88" spans="1:4" s="47" customFormat="1" x14ac:dyDescent="0.2"/>
    <row r="89" spans="1:4" ht="10.5" customHeight="1" x14ac:dyDescent="0.2">
      <c r="A89" s="1"/>
      <c r="B89" s="1"/>
      <c r="C89" s="1"/>
      <c r="D89" s="1"/>
    </row>
    <row r="90" spans="1:4" x14ac:dyDescent="0.2">
      <c r="A90" s="1"/>
      <c r="B90" s="1"/>
      <c r="C90" s="1"/>
      <c r="D90" s="1"/>
    </row>
    <row r="91" spans="1:4" ht="11.25" customHeight="1" x14ac:dyDescent="0.2">
      <c r="A91" s="1"/>
      <c r="B91" s="1"/>
      <c r="C91" s="1"/>
      <c r="D91" s="1"/>
    </row>
    <row r="92" spans="1:4" s="42" customFormat="1" x14ac:dyDescent="0.2">
      <c r="A92" s="1"/>
      <c r="B92" s="1"/>
      <c r="C92" s="1"/>
      <c r="D92" s="1"/>
    </row>
    <row r="93" spans="1:4" x14ac:dyDescent="0.2">
      <c r="A93" s="1"/>
      <c r="B93" s="1"/>
      <c r="C93" s="1"/>
      <c r="D93" s="1"/>
    </row>
    <row r="94" spans="1:4" x14ac:dyDescent="0.2">
      <c r="A94" s="1"/>
      <c r="B94" s="1"/>
      <c r="C94" s="1"/>
      <c r="D94" s="1"/>
    </row>
    <row r="95" spans="1:4" x14ac:dyDescent="0.2">
      <c r="A95" s="1"/>
      <c r="B95" s="1"/>
      <c r="C95" s="1"/>
      <c r="D95" s="1"/>
    </row>
    <row r="96" spans="1:4" x14ac:dyDescent="0.2">
      <c r="A96" s="1"/>
      <c r="B96" s="1"/>
      <c r="C96" s="1"/>
      <c r="D96" s="1"/>
    </row>
    <row r="97" spans="1:4" x14ac:dyDescent="0.2">
      <c r="A97" s="1"/>
      <c r="B97" s="1"/>
      <c r="C97" s="1"/>
      <c r="D97" s="1"/>
    </row>
    <row r="98" spans="1:4" x14ac:dyDescent="0.2">
      <c r="A98" s="1"/>
      <c r="B98" s="1"/>
      <c r="C98" s="1"/>
      <c r="D98" s="1"/>
    </row>
    <row r="99" spans="1:4" x14ac:dyDescent="0.2">
      <c r="A99" s="1"/>
      <c r="B99" s="1"/>
      <c r="C99" s="1"/>
      <c r="D99" s="1"/>
    </row>
    <row r="100" spans="1:4" x14ac:dyDescent="0.2">
      <c r="A100" s="1"/>
      <c r="B100" s="1"/>
      <c r="C100" s="1"/>
      <c r="D100" s="1"/>
    </row>
    <row r="101" spans="1:4" x14ac:dyDescent="0.2">
      <c r="A101" s="1"/>
      <c r="B101" s="1"/>
      <c r="C101" s="1"/>
      <c r="D101" s="1"/>
    </row>
    <row r="102" spans="1:4" x14ac:dyDescent="0.2">
      <c r="A102" s="1"/>
      <c r="B102" s="1"/>
      <c r="C102" s="1"/>
      <c r="D102" s="1"/>
    </row>
    <row r="103" spans="1:4" x14ac:dyDescent="0.2">
      <c r="A103" s="1"/>
      <c r="B103" s="1"/>
      <c r="C103" s="1"/>
      <c r="D103" s="1"/>
    </row>
    <row r="104" spans="1:4" x14ac:dyDescent="0.2">
      <c r="A104" s="1"/>
      <c r="B104" s="1"/>
      <c r="C104" s="1"/>
      <c r="D104" s="1"/>
    </row>
    <row r="105" spans="1:4" x14ac:dyDescent="0.2">
      <c r="A105" s="1"/>
      <c r="B105" s="1"/>
      <c r="C105" s="1"/>
      <c r="D105" s="1"/>
    </row>
    <row r="106" spans="1:4" x14ac:dyDescent="0.2">
      <c r="A106" s="1"/>
      <c r="B106" s="1"/>
      <c r="C106" s="1"/>
      <c r="D106" s="1"/>
    </row>
    <row r="107" spans="1:4" x14ac:dyDescent="0.2">
      <c r="A107" s="1"/>
      <c r="B107" s="1"/>
      <c r="C107" s="1"/>
      <c r="D107" s="1"/>
    </row>
    <row r="108" spans="1:4" x14ac:dyDescent="0.2">
      <c r="A108" s="1"/>
      <c r="B108" s="1"/>
      <c r="C108" s="1"/>
      <c r="D108" s="1"/>
    </row>
    <row r="109" spans="1:4" x14ac:dyDescent="0.2">
      <c r="A109" s="1"/>
      <c r="B109" s="1"/>
      <c r="C109" s="1"/>
      <c r="D109" s="1"/>
    </row>
    <row r="110" spans="1:4" x14ac:dyDescent="0.2">
      <c r="A110" s="1"/>
      <c r="B110" s="1"/>
      <c r="C110" s="1"/>
      <c r="D110" s="1"/>
    </row>
    <row r="111" spans="1:4" x14ac:dyDescent="0.2">
      <c r="A111" s="1"/>
      <c r="B111" s="1"/>
      <c r="C111" s="1"/>
      <c r="D111" s="1"/>
    </row>
    <row r="112" spans="1:4" x14ac:dyDescent="0.2">
      <c r="A112" s="1"/>
      <c r="B112" s="1"/>
      <c r="C112" s="1"/>
      <c r="D112" s="1"/>
    </row>
    <row r="113" spans="1:4" x14ac:dyDescent="0.2">
      <c r="A113" s="1"/>
      <c r="B113" s="1"/>
      <c r="C113" s="1"/>
      <c r="D113" s="1"/>
    </row>
    <row r="114" spans="1:4" x14ac:dyDescent="0.2">
      <c r="A114" s="1"/>
      <c r="B114" s="1"/>
      <c r="C114" s="1"/>
      <c r="D114" s="1"/>
    </row>
    <row r="115" spans="1:4" x14ac:dyDescent="0.2">
      <c r="A115" s="1"/>
      <c r="B115" s="1"/>
      <c r="C115" s="1"/>
      <c r="D115" s="1"/>
    </row>
    <row r="116" spans="1:4" x14ac:dyDescent="0.2">
      <c r="A116" s="1"/>
      <c r="B116" s="1"/>
      <c r="C116" s="1"/>
      <c r="D116" s="1"/>
    </row>
    <row r="117" spans="1:4" x14ac:dyDescent="0.2">
      <c r="A117" s="1"/>
      <c r="B117" s="1"/>
      <c r="C117" s="1"/>
      <c r="D117" s="1"/>
    </row>
    <row r="118" spans="1:4" x14ac:dyDescent="0.2">
      <c r="A118" s="1"/>
      <c r="B118" s="1"/>
      <c r="C118" s="1"/>
      <c r="D118" s="1"/>
    </row>
    <row r="119" spans="1:4" x14ac:dyDescent="0.2">
      <c r="A119" s="1"/>
      <c r="B119" s="1"/>
      <c r="C119" s="1"/>
      <c r="D119" s="1"/>
    </row>
    <row r="120" spans="1:4" x14ac:dyDescent="0.2">
      <c r="A120" s="1"/>
      <c r="B120" s="1"/>
      <c r="C120" s="1"/>
      <c r="D120" s="1"/>
    </row>
    <row r="121" spans="1:4" x14ac:dyDescent="0.2">
      <c r="A121" s="1"/>
      <c r="B121" s="1"/>
      <c r="C121" s="1"/>
      <c r="D121" s="1"/>
    </row>
    <row r="122" spans="1:4" x14ac:dyDescent="0.2">
      <c r="A122" s="1"/>
      <c r="B122" s="1"/>
      <c r="C122" s="1"/>
      <c r="D122" s="1"/>
    </row>
    <row r="123" spans="1:4" x14ac:dyDescent="0.2">
      <c r="A123" s="1"/>
      <c r="B123" s="1"/>
      <c r="C123" s="1"/>
      <c r="D123" s="1"/>
    </row>
    <row r="124" spans="1:4" x14ac:dyDescent="0.2">
      <c r="A124" s="1"/>
      <c r="B124" s="1"/>
      <c r="C124" s="1"/>
      <c r="D124" s="1"/>
    </row>
    <row r="125" spans="1:4" x14ac:dyDescent="0.2">
      <c r="A125" s="1"/>
      <c r="B125" s="1"/>
      <c r="C125" s="1"/>
      <c r="D125" s="1"/>
    </row>
    <row r="126" spans="1:4" x14ac:dyDescent="0.2">
      <c r="A126" s="1"/>
      <c r="B126" s="1"/>
      <c r="C126" s="1"/>
      <c r="D126" s="1"/>
    </row>
    <row r="127" spans="1:4" x14ac:dyDescent="0.2">
      <c r="A127" s="1"/>
      <c r="B127" s="1"/>
      <c r="C127" s="1"/>
      <c r="D127" s="1"/>
    </row>
    <row r="128" spans="1:4" ht="12.75" customHeight="1" x14ac:dyDescent="0.2">
      <c r="A128" s="1"/>
      <c r="B128" s="1"/>
      <c r="C128" s="1"/>
      <c r="D128" s="1"/>
    </row>
    <row r="129" spans="1:4" x14ac:dyDescent="0.2">
      <c r="A129" s="1"/>
      <c r="B129" s="1"/>
      <c r="C129" s="1"/>
      <c r="D129" s="1"/>
    </row>
    <row r="130" spans="1:4" x14ac:dyDescent="0.2">
      <c r="A130" s="1"/>
      <c r="B130" s="1"/>
      <c r="C130" s="1"/>
      <c r="D130" s="1"/>
    </row>
    <row r="131" spans="1:4" x14ac:dyDescent="0.2">
      <c r="A131" s="48"/>
      <c r="B131" s="48"/>
      <c r="C131" s="48"/>
      <c r="D131" s="48"/>
    </row>
    <row r="132" spans="1:4" x14ac:dyDescent="0.2">
      <c r="A132" s="1"/>
      <c r="B132" s="1"/>
      <c r="C132" s="1"/>
      <c r="D132" s="1"/>
    </row>
    <row r="133" spans="1:4" x14ac:dyDescent="0.2">
      <c r="A133" s="1"/>
      <c r="B133" s="1"/>
      <c r="C133" s="1"/>
      <c r="D133" s="1"/>
    </row>
    <row r="134" spans="1:4" x14ac:dyDescent="0.2">
      <c r="A134" s="1"/>
      <c r="B134" s="1"/>
      <c r="C134" s="1"/>
      <c r="D134" s="1"/>
    </row>
    <row r="135" spans="1:4" x14ac:dyDescent="0.2">
      <c r="A135" s="1"/>
      <c r="B135" s="1"/>
      <c r="C135" s="1"/>
      <c r="D135" s="1"/>
    </row>
    <row r="136" spans="1:4" x14ac:dyDescent="0.2">
      <c r="A136" s="1"/>
      <c r="B136" s="1"/>
      <c r="C136" s="1"/>
      <c r="D136" s="1"/>
    </row>
    <row r="137" spans="1:4" x14ac:dyDescent="0.2">
      <c r="A137" s="1"/>
      <c r="B137" s="1"/>
      <c r="C137" s="1"/>
      <c r="D137" s="1"/>
    </row>
    <row r="138" spans="1:4" ht="11.25" customHeight="1" x14ac:dyDescent="0.2">
      <c r="A138" s="1"/>
      <c r="B138" s="1"/>
      <c r="C138" s="1"/>
      <c r="D138" s="1"/>
    </row>
    <row r="139" spans="1:4" x14ac:dyDescent="0.2">
      <c r="A139" s="1"/>
      <c r="B139" s="1"/>
      <c r="C139" s="1"/>
      <c r="D139" s="1"/>
    </row>
    <row r="140" spans="1:4" ht="11.25" customHeight="1" x14ac:dyDescent="0.2">
      <c r="A140" s="1"/>
      <c r="B140" s="1"/>
      <c r="C140" s="1"/>
      <c r="D140" s="1"/>
    </row>
    <row r="141" spans="1:4" s="42" customFormat="1" x14ac:dyDescent="0.2">
      <c r="A141" s="1"/>
      <c r="B141" s="1"/>
      <c r="C141" s="1"/>
      <c r="D141" s="1"/>
    </row>
    <row r="142" spans="1:4" x14ac:dyDescent="0.2">
      <c r="A142" s="1"/>
      <c r="B142" s="1"/>
      <c r="C142" s="1"/>
      <c r="D142" s="1"/>
    </row>
    <row r="143" spans="1:4" x14ac:dyDescent="0.2">
      <c r="A143" s="1"/>
      <c r="B143" s="1"/>
      <c r="C143" s="1"/>
      <c r="D143" s="1"/>
    </row>
    <row r="144" spans="1:4" s="48" customFormat="1" x14ac:dyDescent="0.2">
      <c r="A144" s="1"/>
      <c r="B144" s="1"/>
      <c r="C144" s="1"/>
      <c r="D144" s="1"/>
    </row>
    <row r="145" spans="1:4" x14ac:dyDescent="0.2">
      <c r="A145" s="1"/>
      <c r="B145" s="1"/>
      <c r="C145" s="1"/>
      <c r="D145" s="1"/>
    </row>
    <row r="146" spans="1:4" x14ac:dyDescent="0.2">
      <c r="A146" s="1"/>
      <c r="B146" s="1"/>
      <c r="C146" s="1"/>
      <c r="D146" s="1"/>
    </row>
    <row r="147" spans="1:4" x14ac:dyDescent="0.2">
      <c r="A147" s="1"/>
      <c r="B147" s="1"/>
      <c r="C147" s="1"/>
      <c r="D147" s="1"/>
    </row>
    <row r="148" spans="1:4" x14ac:dyDescent="0.2">
      <c r="A148" s="1"/>
      <c r="B148" s="1"/>
      <c r="C148" s="1"/>
      <c r="D148" s="1"/>
    </row>
    <row r="149" spans="1:4" x14ac:dyDescent="0.2">
      <c r="A149" s="1"/>
      <c r="B149" s="1"/>
      <c r="C149" s="1"/>
      <c r="D149" s="1"/>
    </row>
    <row r="150" spans="1:4" x14ac:dyDescent="0.2">
      <c r="A150" s="1"/>
      <c r="B150" s="1"/>
      <c r="C150" s="1"/>
      <c r="D150" s="1"/>
    </row>
    <row r="151" spans="1:4" x14ac:dyDescent="0.2">
      <c r="A151" s="1"/>
      <c r="B151" s="1"/>
      <c r="C151" s="1"/>
      <c r="D151" s="1"/>
    </row>
    <row r="152" spans="1:4" x14ac:dyDescent="0.2">
      <c r="A152" s="1"/>
      <c r="B152" s="1"/>
      <c r="C152" s="1"/>
      <c r="D152" s="1"/>
    </row>
    <row r="153" spans="1:4" x14ac:dyDescent="0.2">
      <c r="A153" s="1"/>
      <c r="B153" s="1"/>
      <c r="C153" s="1"/>
      <c r="D153" s="1"/>
    </row>
    <row r="154" spans="1:4" x14ac:dyDescent="0.2">
      <c r="A154" s="1"/>
      <c r="B154" s="1"/>
      <c r="C154" s="1"/>
      <c r="D154" s="1"/>
    </row>
    <row r="155" spans="1:4" x14ac:dyDescent="0.2">
      <c r="A155" s="1"/>
      <c r="B155" s="1"/>
      <c r="C155" s="1"/>
      <c r="D155" s="1"/>
    </row>
    <row r="156" spans="1:4" x14ac:dyDescent="0.2">
      <c r="A156" s="1"/>
      <c r="B156" s="1"/>
      <c r="C156" s="1"/>
      <c r="D156" s="1"/>
    </row>
    <row r="157" spans="1:4" x14ac:dyDescent="0.2">
      <c r="A157" s="1"/>
      <c r="B157" s="1"/>
      <c r="C157" s="1"/>
      <c r="D157" s="1"/>
    </row>
    <row r="158" spans="1:4" x14ac:dyDescent="0.2">
      <c r="A158" s="1"/>
      <c r="B158" s="1"/>
      <c r="C158" s="1"/>
      <c r="D158" s="1"/>
    </row>
    <row r="159" spans="1:4" x14ac:dyDescent="0.2">
      <c r="A159" s="1"/>
      <c r="B159" s="1"/>
      <c r="C159" s="1"/>
      <c r="D159" s="1"/>
    </row>
    <row r="160" spans="1:4" x14ac:dyDescent="0.2">
      <c r="A160" s="1"/>
      <c r="B160" s="1"/>
      <c r="C160" s="1"/>
      <c r="D160" s="1"/>
    </row>
    <row r="161" spans="1:4" x14ac:dyDescent="0.2">
      <c r="A161" s="1"/>
      <c r="B161" s="1"/>
      <c r="C161" s="1"/>
      <c r="D161" s="1"/>
    </row>
    <row r="162" spans="1:4" ht="27.75" customHeight="1" x14ac:dyDescent="0.2">
      <c r="A162" s="1"/>
      <c r="B162" s="1"/>
      <c r="C162" s="1"/>
      <c r="D162" s="1"/>
    </row>
    <row r="163" spans="1:4" x14ac:dyDescent="0.2">
      <c r="A163" s="1"/>
      <c r="B163" s="1"/>
      <c r="C163" s="1"/>
      <c r="D163" s="1"/>
    </row>
    <row r="164" spans="1:4" x14ac:dyDescent="0.2">
      <c r="A164" s="1"/>
      <c r="B164" s="1"/>
      <c r="C164" s="1"/>
      <c r="D164" s="1"/>
    </row>
    <row r="165" spans="1:4" x14ac:dyDescent="0.2">
      <c r="A165" s="1"/>
      <c r="B165" s="1"/>
      <c r="C165" s="1"/>
      <c r="D165" s="1"/>
    </row>
    <row r="166" spans="1:4" x14ac:dyDescent="0.2">
      <c r="A166" s="1"/>
      <c r="B166" s="1"/>
      <c r="C166" s="1"/>
      <c r="D166" s="1"/>
    </row>
    <row r="167" spans="1:4" x14ac:dyDescent="0.2">
      <c r="A167" s="1"/>
      <c r="B167" s="1"/>
      <c r="C167" s="1"/>
      <c r="D167" s="1"/>
    </row>
    <row r="168" spans="1:4" x14ac:dyDescent="0.2">
      <c r="A168" s="1"/>
      <c r="B168" s="1"/>
      <c r="C168" s="1"/>
      <c r="D168" s="1"/>
    </row>
    <row r="169" spans="1:4" x14ac:dyDescent="0.2">
      <c r="A169" s="1"/>
      <c r="B169" s="1"/>
      <c r="C169" s="1"/>
      <c r="D169" s="1"/>
    </row>
    <row r="170" spans="1:4" x14ac:dyDescent="0.2">
      <c r="A170" s="1"/>
      <c r="B170" s="1"/>
      <c r="C170" s="1"/>
      <c r="D170" s="1"/>
    </row>
    <row r="171" spans="1:4" x14ac:dyDescent="0.2">
      <c r="A171" s="1"/>
      <c r="B171" s="1"/>
      <c r="C171" s="1"/>
      <c r="D171" s="1"/>
    </row>
    <row r="172" spans="1:4" x14ac:dyDescent="0.2">
      <c r="A172" s="1"/>
      <c r="B172" s="1"/>
      <c r="C172" s="1"/>
      <c r="D172" s="1"/>
    </row>
    <row r="173" spans="1:4" x14ac:dyDescent="0.2">
      <c r="A173" s="1"/>
      <c r="B173" s="1"/>
      <c r="C173" s="1"/>
      <c r="D173" s="1"/>
    </row>
    <row r="174" spans="1:4" x14ac:dyDescent="0.2">
      <c r="A174" s="1"/>
      <c r="B174" s="1"/>
      <c r="C174" s="1"/>
      <c r="D174" s="1"/>
    </row>
    <row r="175" spans="1:4" x14ac:dyDescent="0.2">
      <c r="A175" s="1"/>
      <c r="B175" s="1"/>
      <c r="C175" s="1"/>
      <c r="D175" s="1"/>
    </row>
    <row r="176" spans="1:4" x14ac:dyDescent="0.2">
      <c r="A176" s="1"/>
      <c r="B176" s="1"/>
      <c r="C176" s="1"/>
      <c r="D176" s="1"/>
    </row>
    <row r="177" spans="1:4" x14ac:dyDescent="0.2">
      <c r="A177" s="1"/>
      <c r="B177" s="1"/>
      <c r="C177" s="1"/>
      <c r="D177" s="1"/>
    </row>
    <row r="178" spans="1:4" x14ac:dyDescent="0.2">
      <c r="A178" s="1"/>
      <c r="B178" s="1"/>
      <c r="C178" s="1"/>
      <c r="D178" s="1"/>
    </row>
    <row r="179" spans="1:4" x14ac:dyDescent="0.2">
      <c r="A179" s="1"/>
      <c r="B179" s="1"/>
      <c r="C179" s="1"/>
      <c r="D179" s="1"/>
    </row>
    <row r="180" spans="1:4" x14ac:dyDescent="0.2">
      <c r="A180" s="1"/>
      <c r="B180" s="1"/>
      <c r="C180" s="1"/>
      <c r="D180" s="1"/>
    </row>
    <row r="181" spans="1:4" x14ac:dyDescent="0.2">
      <c r="A181" s="1"/>
      <c r="B181" s="1"/>
      <c r="C181" s="1"/>
      <c r="D181" s="1"/>
    </row>
    <row r="182" spans="1:4" x14ac:dyDescent="0.2">
      <c r="A182" s="1"/>
      <c r="B182" s="1"/>
      <c r="C182" s="1"/>
      <c r="D182" s="1"/>
    </row>
    <row r="183" spans="1:4" x14ac:dyDescent="0.2">
      <c r="A183" s="1"/>
      <c r="B183" s="1"/>
      <c r="C183" s="1"/>
      <c r="D183" s="1"/>
    </row>
    <row r="184" spans="1:4" x14ac:dyDescent="0.2">
      <c r="A184" s="1"/>
      <c r="B184" s="1"/>
      <c r="C184" s="1"/>
      <c r="D184" s="1"/>
    </row>
    <row r="185" spans="1:4" ht="10.5" customHeight="1" x14ac:dyDescent="0.2">
      <c r="A185" s="1"/>
      <c r="B185" s="1"/>
      <c r="C185" s="1"/>
      <c r="D185" s="1"/>
    </row>
    <row r="186" spans="1:4" x14ac:dyDescent="0.2">
      <c r="A186" s="1"/>
      <c r="B186" s="1"/>
      <c r="C186" s="1"/>
      <c r="D186" s="1"/>
    </row>
    <row r="187" spans="1:4" ht="11.25" customHeight="1" x14ac:dyDescent="0.2">
      <c r="A187" s="1"/>
      <c r="B187" s="1"/>
      <c r="C187" s="1"/>
      <c r="D187" s="1"/>
    </row>
    <row r="188" spans="1:4" s="42" customFormat="1" x14ac:dyDescent="0.2">
      <c r="A188" s="1"/>
      <c r="B188" s="1"/>
      <c r="C188" s="1"/>
      <c r="D188" s="1"/>
    </row>
    <row r="189" spans="1:4" x14ac:dyDescent="0.2">
      <c r="A189" s="1"/>
      <c r="B189" s="1"/>
      <c r="C189" s="1"/>
      <c r="D189" s="1"/>
    </row>
    <row r="190" spans="1:4" ht="12.75" hidden="1" customHeight="1" x14ac:dyDescent="0.2">
      <c r="A190" s="1"/>
      <c r="B190" s="1"/>
      <c r="C190" s="1"/>
      <c r="D190" s="1"/>
    </row>
    <row r="191" spans="1:4" ht="12.75" hidden="1" customHeight="1" x14ac:dyDescent="0.2">
      <c r="A191" s="1"/>
      <c r="B191" s="1"/>
      <c r="C191" s="1"/>
      <c r="D191" s="1"/>
    </row>
    <row r="192" spans="1:4" ht="12.75" hidden="1" customHeight="1" x14ac:dyDescent="0.2">
      <c r="A192" s="1"/>
      <c r="B192" s="1"/>
      <c r="C192" s="1"/>
      <c r="D192" s="1"/>
    </row>
    <row r="193" spans="1:4" ht="12.75" hidden="1" customHeight="1" x14ac:dyDescent="0.2">
      <c r="A193" s="1"/>
      <c r="B193" s="1"/>
      <c r="C193" s="1"/>
      <c r="D193" s="1"/>
    </row>
    <row r="194" spans="1:4" ht="12.75" hidden="1" customHeight="1" x14ac:dyDescent="0.2">
      <c r="A194" s="1"/>
      <c r="B194" s="1"/>
      <c r="C194" s="1"/>
      <c r="D194" s="1"/>
    </row>
    <row r="195" spans="1:4" ht="12.75" hidden="1" customHeight="1" x14ac:dyDescent="0.2">
      <c r="A195" s="1"/>
      <c r="B195" s="1"/>
      <c r="C195" s="1"/>
      <c r="D195" s="1"/>
    </row>
    <row r="196" spans="1:4" ht="12.75" hidden="1" customHeight="1" x14ac:dyDescent="0.2">
      <c r="A196" s="1"/>
      <c r="B196" s="1"/>
      <c r="C196" s="1"/>
      <c r="D196" s="1"/>
    </row>
    <row r="197" spans="1:4" ht="12.75" hidden="1" customHeight="1" x14ac:dyDescent="0.2">
      <c r="A197" s="1"/>
      <c r="B197" s="1"/>
      <c r="C197" s="1"/>
      <c r="D197" s="1"/>
    </row>
    <row r="198" spans="1:4" ht="12.75" hidden="1" customHeight="1" x14ac:dyDescent="0.2">
      <c r="A198" s="1"/>
      <c r="B198" s="1"/>
      <c r="C198" s="1"/>
      <c r="D198" s="1"/>
    </row>
    <row r="199" spans="1:4" ht="12.75" hidden="1" customHeight="1" x14ac:dyDescent="0.2">
      <c r="A199" s="1"/>
      <c r="B199" s="1"/>
      <c r="C199" s="1"/>
      <c r="D199" s="1"/>
    </row>
    <row r="200" spans="1:4" ht="12.75" hidden="1" customHeight="1" x14ac:dyDescent="0.2">
      <c r="A200" s="1"/>
      <c r="B200" s="1"/>
      <c r="C200" s="1"/>
      <c r="D200" s="1"/>
    </row>
    <row r="201" spans="1:4" ht="12.75" hidden="1" customHeight="1" x14ac:dyDescent="0.2">
      <c r="A201" s="1"/>
      <c r="B201" s="1"/>
      <c r="C201" s="1"/>
      <c r="D201" s="1"/>
    </row>
    <row r="202" spans="1:4" ht="12.75" hidden="1" customHeight="1" x14ac:dyDescent="0.2">
      <c r="A202" s="1"/>
      <c r="B202" s="1"/>
      <c r="C202" s="1"/>
      <c r="D202" s="1"/>
    </row>
    <row r="203" spans="1:4" ht="12.75" hidden="1" customHeight="1" x14ac:dyDescent="0.2">
      <c r="A203" s="1"/>
      <c r="B203" s="1"/>
      <c r="C203" s="1"/>
      <c r="D203" s="1"/>
    </row>
    <row r="204" spans="1:4" ht="12.75" hidden="1" customHeight="1" x14ac:dyDescent="0.2">
      <c r="A204" s="1"/>
      <c r="B204" s="1"/>
      <c r="C204" s="1"/>
      <c r="D204" s="1"/>
    </row>
    <row r="205" spans="1:4" ht="12.75" hidden="1" customHeight="1" x14ac:dyDescent="0.2">
      <c r="A205" s="1"/>
      <c r="B205" s="1"/>
      <c r="C205" s="1"/>
      <c r="D205" s="1"/>
    </row>
    <row r="206" spans="1:4" ht="12.75" hidden="1" customHeight="1" x14ac:dyDescent="0.2">
      <c r="A206" s="1"/>
      <c r="B206" s="1"/>
      <c r="C206" s="1"/>
      <c r="D206" s="1"/>
    </row>
    <row r="207" spans="1:4" ht="12.75" hidden="1" customHeight="1" x14ac:dyDescent="0.2">
      <c r="A207" s="1"/>
      <c r="B207" s="1"/>
      <c r="C207" s="1"/>
      <c r="D207" s="1"/>
    </row>
    <row r="208" spans="1:4" ht="12.75" hidden="1" customHeight="1" x14ac:dyDescent="0.2">
      <c r="A208" s="1"/>
      <c r="B208" s="1"/>
      <c r="C208" s="1"/>
      <c r="D208" s="1"/>
    </row>
    <row r="209" spans="1:4" ht="12.75" hidden="1" customHeight="1" x14ac:dyDescent="0.2">
      <c r="A209" s="1"/>
      <c r="B209" s="1"/>
      <c r="C209" s="1"/>
      <c r="D209" s="1"/>
    </row>
    <row r="210" spans="1:4" ht="12.75" hidden="1" customHeight="1" x14ac:dyDescent="0.2">
      <c r="A210" s="1"/>
      <c r="B210" s="1"/>
      <c r="C210" s="1"/>
      <c r="D210" s="1"/>
    </row>
    <row r="211" spans="1:4" ht="12.75" hidden="1" customHeight="1" x14ac:dyDescent="0.2">
      <c r="A211" s="1"/>
      <c r="B211" s="1"/>
      <c r="C211" s="1"/>
      <c r="D211" s="1"/>
    </row>
    <row r="212" spans="1:4" ht="12.75" hidden="1" customHeight="1" x14ac:dyDescent="0.2">
      <c r="A212" s="1"/>
      <c r="B212" s="1"/>
      <c r="C212" s="1"/>
      <c r="D212" s="1"/>
    </row>
    <row r="213" spans="1:4" ht="12.75" hidden="1" customHeight="1" x14ac:dyDescent="0.2">
      <c r="A213" s="22"/>
      <c r="B213" s="22"/>
      <c r="C213" s="22"/>
      <c r="D213" s="22"/>
    </row>
    <row r="214" spans="1:4" ht="12.75" hidden="1" customHeight="1" x14ac:dyDescent="0.2">
      <c r="A214" s="1"/>
      <c r="B214" s="1"/>
      <c r="C214" s="1"/>
      <c r="D214" s="1"/>
    </row>
    <row r="215" spans="1:4" ht="12.75" hidden="1" customHeight="1" x14ac:dyDescent="0.2">
      <c r="A215" s="1"/>
      <c r="B215" s="1"/>
      <c r="C215" s="1"/>
      <c r="D215" s="1"/>
    </row>
    <row r="216" spans="1:4" ht="12.75" hidden="1" customHeight="1" x14ac:dyDescent="0.2">
      <c r="A216" s="1"/>
      <c r="B216" s="1"/>
      <c r="C216" s="1"/>
      <c r="D216" s="1"/>
    </row>
    <row r="217" spans="1:4" ht="12.75" hidden="1" customHeight="1" x14ac:dyDescent="0.2">
      <c r="A217" s="1"/>
      <c r="B217" s="1"/>
      <c r="C217" s="1"/>
      <c r="D217" s="1"/>
    </row>
    <row r="218" spans="1:4" ht="12.75" hidden="1" customHeight="1" x14ac:dyDescent="0.2">
      <c r="A218" s="1"/>
      <c r="B218" s="1"/>
      <c r="C218" s="1"/>
      <c r="D218" s="1"/>
    </row>
    <row r="219" spans="1:4" ht="12.75" hidden="1" customHeight="1" x14ac:dyDescent="0.2">
      <c r="A219" s="1"/>
      <c r="B219" s="1"/>
      <c r="C219" s="1"/>
      <c r="D219" s="1"/>
    </row>
    <row r="220" spans="1:4" ht="12.75" hidden="1" customHeight="1" x14ac:dyDescent="0.2">
      <c r="A220" s="1"/>
      <c r="B220" s="1"/>
      <c r="C220" s="1"/>
      <c r="D220" s="1"/>
    </row>
    <row r="221" spans="1:4" x14ac:dyDescent="0.2">
      <c r="A221" s="1"/>
      <c r="B221" s="1"/>
      <c r="C221" s="1"/>
      <c r="D221" s="1"/>
    </row>
    <row r="222" spans="1:4" x14ac:dyDescent="0.2">
      <c r="A222" s="1"/>
      <c r="B222" s="1"/>
      <c r="C222" s="1"/>
      <c r="D222" s="1"/>
    </row>
    <row r="223" spans="1:4" x14ac:dyDescent="0.2">
      <c r="A223" s="1"/>
      <c r="B223" s="1"/>
      <c r="C223" s="1"/>
      <c r="D223" s="1"/>
    </row>
    <row r="224" spans="1:4" x14ac:dyDescent="0.2">
      <c r="A224" s="1"/>
      <c r="B224" s="1"/>
      <c r="C224" s="1"/>
      <c r="D224" s="1"/>
    </row>
    <row r="225" spans="1:4" x14ac:dyDescent="0.2">
      <c r="A225" s="1"/>
      <c r="B225" s="1"/>
      <c r="C225" s="1"/>
      <c r="D225" s="1"/>
    </row>
    <row r="226" spans="1:4" x14ac:dyDescent="0.2">
      <c r="A226" s="1"/>
      <c r="B226" s="1"/>
      <c r="C226" s="1"/>
      <c r="D226" s="1"/>
    </row>
    <row r="227" spans="1:4" x14ac:dyDescent="0.2">
      <c r="A227" s="1"/>
      <c r="B227" s="1"/>
      <c r="C227" s="1"/>
      <c r="D227" s="1"/>
    </row>
    <row r="228" spans="1:4" x14ac:dyDescent="0.2">
      <c r="A228" s="1"/>
      <c r="B228" s="1"/>
      <c r="C228" s="1"/>
      <c r="D228" s="1"/>
    </row>
    <row r="229" spans="1:4" x14ac:dyDescent="0.2">
      <c r="A229" s="1"/>
      <c r="B229" s="1"/>
      <c r="C229" s="1"/>
      <c r="D229" s="1"/>
    </row>
    <row r="230" spans="1:4" x14ac:dyDescent="0.2">
      <c r="A230" s="1"/>
      <c r="B230" s="1"/>
      <c r="C230" s="1"/>
      <c r="D230" s="1"/>
    </row>
    <row r="231" spans="1:4" x14ac:dyDescent="0.2">
      <c r="A231" s="1"/>
      <c r="B231" s="1"/>
      <c r="C231" s="1"/>
      <c r="D231" s="1"/>
    </row>
    <row r="232" spans="1:4" x14ac:dyDescent="0.2">
      <c r="A232" s="1"/>
      <c r="B232" s="1"/>
      <c r="C232" s="1"/>
      <c r="D232" s="1"/>
    </row>
    <row r="233" spans="1:4" x14ac:dyDescent="0.2">
      <c r="A233" s="1"/>
      <c r="B233" s="1"/>
      <c r="C233" s="1"/>
      <c r="D233" s="1"/>
    </row>
    <row r="234" spans="1:4" s="22" customFormat="1" ht="25.5" customHeight="1" x14ac:dyDescent="0.2">
      <c r="A234" s="1"/>
      <c r="B234" s="1"/>
      <c r="C234" s="1"/>
      <c r="D234" s="1"/>
    </row>
    <row r="235" spans="1:4" x14ac:dyDescent="0.2">
      <c r="A235" s="1"/>
      <c r="B235" s="1"/>
      <c r="C235" s="1"/>
      <c r="D235" s="1"/>
    </row>
    <row r="236" spans="1:4" x14ac:dyDescent="0.2">
      <c r="A236" s="1"/>
      <c r="B236" s="1"/>
      <c r="C236" s="1"/>
      <c r="D236" s="1"/>
    </row>
    <row r="237" spans="1:4" x14ac:dyDescent="0.2">
      <c r="A237" s="1"/>
      <c r="B237" s="1"/>
      <c r="C237" s="1"/>
      <c r="D237" s="1"/>
    </row>
    <row r="238" spans="1:4" x14ac:dyDescent="0.2">
      <c r="A238" s="1"/>
      <c r="B238" s="1"/>
      <c r="C238" s="1"/>
      <c r="D238" s="1"/>
    </row>
    <row r="239" spans="1:4" x14ac:dyDescent="0.2">
      <c r="A239" s="1"/>
      <c r="B239" s="1"/>
      <c r="C239" s="1"/>
      <c r="D239" s="1"/>
    </row>
    <row r="240" spans="1:4" x14ac:dyDescent="0.2">
      <c r="A240" s="1"/>
      <c r="B240" s="1"/>
      <c r="C240" s="1"/>
      <c r="D240" s="1"/>
    </row>
    <row r="241" spans="1:4" x14ac:dyDescent="0.2">
      <c r="A241" s="1"/>
      <c r="B241" s="1"/>
      <c r="C241" s="1"/>
      <c r="D241" s="1"/>
    </row>
    <row r="242" spans="1:4" x14ac:dyDescent="0.2">
      <c r="A242" s="42"/>
      <c r="B242" s="42"/>
      <c r="C242" s="42"/>
      <c r="D242" s="42"/>
    </row>
    <row r="243" spans="1:4" x14ac:dyDescent="0.2">
      <c r="A243" s="1"/>
      <c r="B243" s="1"/>
      <c r="C243" s="1"/>
      <c r="D243" s="1"/>
    </row>
    <row r="244" spans="1:4" x14ac:dyDescent="0.2">
      <c r="A244" s="1"/>
      <c r="B244" s="1"/>
      <c r="C244" s="1"/>
      <c r="D244" s="1"/>
    </row>
    <row r="245" spans="1:4" x14ac:dyDescent="0.2">
      <c r="A245" s="1"/>
      <c r="B245" s="1"/>
      <c r="C245" s="1"/>
      <c r="D245" s="1"/>
    </row>
    <row r="246" spans="1:4" x14ac:dyDescent="0.2">
      <c r="A246" s="1"/>
      <c r="B246" s="1"/>
      <c r="C246" s="1"/>
      <c r="D246" s="1"/>
    </row>
    <row r="247" spans="1:4" x14ac:dyDescent="0.2">
      <c r="A247" s="1"/>
      <c r="B247" s="1"/>
      <c r="C247" s="1"/>
      <c r="D247" s="1"/>
    </row>
    <row r="248" spans="1:4" x14ac:dyDescent="0.2">
      <c r="A248" s="1"/>
      <c r="B248" s="1"/>
      <c r="C248" s="1"/>
      <c r="D248" s="1"/>
    </row>
    <row r="249" spans="1:4" x14ac:dyDescent="0.2">
      <c r="A249" s="1"/>
      <c r="B249" s="1"/>
      <c r="C249" s="1"/>
      <c r="D249" s="1"/>
    </row>
    <row r="250" spans="1:4" x14ac:dyDescent="0.2">
      <c r="A250" s="1"/>
      <c r="B250" s="1"/>
      <c r="C250" s="1"/>
      <c r="D250" s="1"/>
    </row>
    <row r="251" spans="1:4" x14ac:dyDescent="0.2">
      <c r="A251" s="1"/>
      <c r="B251" s="1"/>
      <c r="C251" s="1"/>
      <c r="D251" s="1"/>
    </row>
    <row r="252" spans="1:4" x14ac:dyDescent="0.2">
      <c r="A252" s="1"/>
      <c r="B252" s="1"/>
      <c r="C252" s="1"/>
      <c r="D252" s="1"/>
    </row>
    <row r="253" spans="1:4" x14ac:dyDescent="0.2">
      <c r="A253" s="1"/>
      <c r="B253" s="1"/>
      <c r="C253" s="1"/>
      <c r="D253" s="1"/>
    </row>
    <row r="254" spans="1:4" x14ac:dyDescent="0.2">
      <c r="A254" s="1"/>
      <c r="B254" s="1"/>
      <c r="C254" s="1"/>
      <c r="D254" s="1"/>
    </row>
    <row r="255" spans="1:4" x14ac:dyDescent="0.2">
      <c r="A255" s="1"/>
      <c r="B255" s="1"/>
      <c r="C255" s="1"/>
      <c r="D255" s="1"/>
    </row>
    <row r="256" spans="1:4" x14ac:dyDescent="0.2">
      <c r="A256" s="1"/>
      <c r="B256" s="1"/>
      <c r="C256" s="1"/>
      <c r="D256" s="1"/>
    </row>
    <row r="257" spans="1:4" ht="58.5" customHeight="1" x14ac:dyDescent="0.2">
      <c r="A257" s="1"/>
      <c r="B257" s="1"/>
      <c r="C257" s="1"/>
      <c r="D257" s="1"/>
    </row>
    <row r="258" spans="1:4" x14ac:dyDescent="0.2">
      <c r="A258" s="1"/>
      <c r="B258" s="1"/>
      <c r="C258" s="1"/>
      <c r="D258" s="1"/>
    </row>
    <row r="259" spans="1:4" ht="27" customHeight="1" x14ac:dyDescent="0.2">
      <c r="A259" s="1"/>
      <c r="B259" s="1"/>
      <c r="C259" s="1"/>
      <c r="D259" s="1"/>
    </row>
    <row r="260" spans="1:4" ht="11.25" customHeight="1" x14ac:dyDescent="0.2">
      <c r="A260" s="1"/>
      <c r="B260" s="1"/>
      <c r="C260" s="1"/>
      <c r="D260" s="1"/>
    </row>
    <row r="262" spans="1:4" ht="11.25" customHeight="1" x14ac:dyDescent="0.2"/>
    <row r="263" spans="1:4" s="42" customFormat="1" x14ac:dyDescent="0.2">
      <c r="A263"/>
      <c r="B263"/>
      <c r="C263"/>
      <c r="D263"/>
    </row>
    <row r="265" spans="1:4" x14ac:dyDescent="0.2">
      <c r="A265" s="49"/>
      <c r="B265" s="49"/>
      <c r="C265" s="49"/>
      <c r="D265" s="49"/>
    </row>
    <row r="266" spans="1:4" x14ac:dyDescent="0.2">
      <c r="A266" s="49"/>
      <c r="B266" s="49"/>
      <c r="C266" s="49"/>
      <c r="D266" s="49"/>
    </row>
    <row r="281" ht="54.75" customHeight="1" x14ac:dyDescent="0.2"/>
  </sheetData>
  <mergeCells count="3">
    <mergeCell ref="A1:D1"/>
    <mergeCell ref="A2:D2"/>
    <mergeCell ref="A4:D4"/>
  </mergeCells>
  <printOptions horizontalCentered="1" gridLines="1"/>
  <pageMargins left="0.25" right="0.25" top="0.25" bottom="0.75" header="1" footer="0.25"/>
  <pageSetup orientation="portrait" r:id="rId1"/>
  <headerFooter alignWithMargins="0">
    <oddFooter>&amp;C&amp;"Times New Roman,Regular"&amp;9p. 1 of 6&amp;R&amp;"Times New Roman,Regular"&amp;9 2-27-08</oddFooter>
  </headerFooter>
  <rowBreaks count="4" manualBreakCount="4">
    <brk id="86" max="16383" man="1"/>
    <brk id="135" max="16383" man="1"/>
    <brk id="182" max="16383" man="1"/>
    <brk id="2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workbookViewId="0">
      <selection sqref="A1:C1"/>
    </sheetView>
  </sheetViews>
  <sheetFormatPr defaultRowHeight="12.75" x14ac:dyDescent="0.2"/>
  <cols>
    <col min="1" max="1" width="49.140625" customWidth="1"/>
    <col min="2" max="2" width="9.7109375" customWidth="1"/>
    <col min="3" max="3" width="8.5703125" customWidth="1"/>
    <col min="4" max="8" width="9.140625" style="1"/>
    <col min="9" max="9" width="9.85546875" style="1" customWidth="1"/>
    <col min="10" max="15" width="9.140625" style="1"/>
    <col min="16" max="16" width="8.85546875" style="1" customWidth="1"/>
    <col min="17" max="19" width="9.140625" style="1"/>
    <col min="20" max="20" width="10" style="1" customWidth="1"/>
    <col min="21" max="21" width="9.85546875" style="1" customWidth="1"/>
    <col min="22" max="22" width="9.7109375" style="1" customWidth="1"/>
    <col min="23" max="28" width="9.140625" style="1"/>
    <col min="29" max="29" width="2.42578125" style="1" customWidth="1"/>
    <col min="30" max="30" width="10.28515625" style="1" customWidth="1"/>
    <col min="31" max="16384" width="9.140625" style="1"/>
  </cols>
  <sheetData>
    <row r="1" spans="1:32" ht="20.25" customHeight="1" x14ac:dyDescent="0.3">
      <c r="A1" s="211" t="s">
        <v>0</v>
      </c>
      <c r="B1" s="212"/>
      <c r="C1" s="212"/>
    </row>
    <row r="2" spans="1:32" ht="18.75" x14ac:dyDescent="0.3">
      <c r="A2" s="213" t="s">
        <v>156</v>
      </c>
      <c r="B2" s="214"/>
      <c r="C2" s="214"/>
    </row>
    <row r="3" spans="1:32" ht="9.75" customHeight="1" x14ac:dyDescent="0.3">
      <c r="A3" s="2"/>
      <c r="B3" s="3"/>
      <c r="C3" s="3"/>
    </row>
    <row r="4" spans="1:32" ht="16.5" customHeight="1" x14ac:dyDescent="0.3">
      <c r="A4" s="213" t="s">
        <v>1</v>
      </c>
      <c r="B4" s="214"/>
      <c r="C4" s="214"/>
    </row>
    <row r="5" spans="1:32" ht="7.5" customHeight="1" x14ac:dyDescent="0.2">
      <c r="A5" s="4"/>
      <c r="B5" s="5"/>
      <c r="C5" s="5"/>
    </row>
    <row r="6" spans="1:32" s="8" customFormat="1" ht="72.75" x14ac:dyDescent="0.25">
      <c r="A6" s="6" t="s">
        <v>2</v>
      </c>
      <c r="B6" s="7" t="s">
        <v>193</v>
      </c>
      <c r="C6" s="7" t="s">
        <v>194</v>
      </c>
      <c r="D6" s="99" t="s">
        <v>195</v>
      </c>
      <c r="E6" s="99" t="s">
        <v>196</v>
      </c>
      <c r="F6" s="99" t="s">
        <v>197</v>
      </c>
      <c r="G6" s="99" t="s">
        <v>198</v>
      </c>
      <c r="H6" s="99" t="s">
        <v>199</v>
      </c>
      <c r="I6" s="99" t="s">
        <v>200</v>
      </c>
      <c r="J6" s="99" t="s">
        <v>201</v>
      </c>
      <c r="K6" s="99" t="s">
        <v>202</v>
      </c>
      <c r="L6" s="99" t="s">
        <v>203</v>
      </c>
      <c r="M6" s="99" t="s">
        <v>204</v>
      </c>
      <c r="N6" s="99" t="s">
        <v>205</v>
      </c>
      <c r="O6" s="99" t="s">
        <v>334</v>
      </c>
      <c r="P6" s="99" t="s">
        <v>206</v>
      </c>
      <c r="Q6" s="99" t="s">
        <v>207</v>
      </c>
      <c r="R6" s="99" t="s">
        <v>208</v>
      </c>
      <c r="S6" s="99" t="s">
        <v>209</v>
      </c>
      <c r="T6" s="99" t="s">
        <v>210</v>
      </c>
      <c r="U6" s="99" t="s">
        <v>211</v>
      </c>
      <c r="V6" s="99" t="s">
        <v>212</v>
      </c>
      <c r="W6" s="99" t="s">
        <v>213</v>
      </c>
      <c r="X6" s="99" t="s">
        <v>214</v>
      </c>
      <c r="Y6" s="99" t="s">
        <v>215</v>
      </c>
      <c r="Z6" s="99" t="s">
        <v>216</v>
      </c>
      <c r="AA6" s="99" t="s">
        <v>217</v>
      </c>
      <c r="AB6" s="99" t="s">
        <v>218</v>
      </c>
      <c r="AC6" s="157"/>
      <c r="AD6" s="99" t="s">
        <v>284</v>
      </c>
    </row>
    <row r="7" spans="1:32" x14ac:dyDescent="0.2">
      <c r="A7" s="9"/>
      <c r="B7" s="10"/>
      <c r="C7" s="10"/>
      <c r="D7" s="10"/>
      <c r="E7" s="10"/>
      <c r="F7" s="10"/>
      <c r="G7" s="10"/>
      <c r="H7" s="142"/>
      <c r="I7" s="10"/>
      <c r="J7" s="10"/>
      <c r="K7" s="10"/>
      <c r="L7" s="10"/>
      <c r="M7" s="10"/>
      <c r="N7" s="10" t="s">
        <v>263</v>
      </c>
      <c r="O7" s="10"/>
      <c r="P7" s="10"/>
      <c r="Q7" s="10"/>
      <c r="R7" s="10"/>
      <c r="S7" s="10"/>
      <c r="T7" s="10"/>
      <c r="U7" s="10"/>
      <c r="V7" s="10"/>
      <c r="W7" s="10"/>
      <c r="X7" s="10"/>
      <c r="Y7" s="10"/>
      <c r="Z7" s="10"/>
      <c r="AA7" s="10"/>
      <c r="AB7" s="10"/>
      <c r="AC7" s="158"/>
      <c r="AD7" s="162"/>
    </row>
    <row r="8" spans="1:32" ht="13.5" x14ac:dyDescent="0.25">
      <c r="A8" s="11" t="s">
        <v>160</v>
      </c>
      <c r="B8" s="12"/>
      <c r="C8" s="12"/>
      <c r="D8" s="12"/>
      <c r="E8" s="12"/>
      <c r="F8" s="12"/>
      <c r="G8" s="12"/>
      <c r="H8" s="143"/>
      <c r="I8" s="12"/>
      <c r="J8" s="12"/>
      <c r="K8" s="12"/>
      <c r="L8" s="12"/>
      <c r="M8" s="12"/>
      <c r="N8" s="12" t="s">
        <v>263</v>
      </c>
      <c r="O8" s="12"/>
      <c r="P8" s="12"/>
      <c r="Q8" s="12"/>
      <c r="R8" s="12"/>
      <c r="S8" s="12"/>
      <c r="T8" s="12"/>
      <c r="U8" s="12"/>
      <c r="V8" s="12"/>
      <c r="W8" s="12"/>
      <c r="X8" s="12"/>
      <c r="Y8" s="12"/>
      <c r="Z8" s="12"/>
      <c r="AA8" s="12"/>
      <c r="AB8" s="12"/>
      <c r="AC8" s="158"/>
      <c r="AD8" s="162"/>
    </row>
    <row r="9" spans="1:32" x14ac:dyDescent="0.2">
      <c r="A9" s="13" t="s">
        <v>3</v>
      </c>
      <c r="B9" s="14">
        <v>12</v>
      </c>
      <c r="C9" s="14"/>
      <c r="D9" s="14">
        <v>2</v>
      </c>
      <c r="E9" s="14"/>
      <c r="F9" s="14"/>
      <c r="G9" s="14">
        <v>29</v>
      </c>
      <c r="H9" s="138"/>
      <c r="I9" s="14">
        <v>41</v>
      </c>
      <c r="J9" s="14"/>
      <c r="K9" s="14"/>
      <c r="L9" s="14"/>
      <c r="M9" s="14"/>
      <c r="N9" s="14"/>
      <c r="O9" s="14">
        <f>15+352</f>
        <v>367</v>
      </c>
      <c r="P9" s="14"/>
      <c r="Q9" s="14"/>
      <c r="R9" s="14"/>
      <c r="S9" s="17"/>
      <c r="T9" s="14"/>
      <c r="U9" s="14"/>
      <c r="V9" s="14">
        <v>14</v>
      </c>
      <c r="W9" s="14"/>
      <c r="X9" s="14"/>
      <c r="Y9" s="14"/>
      <c r="Z9" s="14"/>
      <c r="AA9" s="14"/>
      <c r="AB9" s="14">
        <v>18</v>
      </c>
      <c r="AC9" s="158"/>
      <c r="AD9" s="47"/>
      <c r="AF9" s="82">
        <f>COUNT(B9:AB9)</f>
        <v>7</v>
      </c>
    </row>
    <row r="10" spans="1:32" x14ac:dyDescent="0.2">
      <c r="A10" s="13" t="s">
        <v>4</v>
      </c>
      <c r="B10" s="14">
        <v>1120</v>
      </c>
      <c r="C10" s="120">
        <v>1228</v>
      </c>
      <c r="D10" s="14">
        <v>679</v>
      </c>
      <c r="E10" s="14">
        <v>1234</v>
      </c>
      <c r="F10" s="14">
        <v>519</v>
      </c>
      <c r="G10" s="14">
        <v>1200</v>
      </c>
      <c r="H10" s="138">
        <v>354</v>
      </c>
      <c r="I10" s="14">
        <v>1092</v>
      </c>
      <c r="J10" s="14">
        <v>179</v>
      </c>
      <c r="K10" s="14">
        <v>1356</v>
      </c>
      <c r="L10" s="14">
        <v>648</v>
      </c>
      <c r="M10" s="14">
        <v>1723</v>
      </c>
      <c r="N10" s="14">
        <v>802</v>
      </c>
      <c r="O10" s="14">
        <v>884</v>
      </c>
      <c r="P10" s="14">
        <v>444</v>
      </c>
      <c r="Q10" s="14">
        <v>1186</v>
      </c>
      <c r="R10" s="14">
        <v>1188</v>
      </c>
      <c r="S10" s="14">
        <v>142</v>
      </c>
      <c r="T10" s="14">
        <v>673</v>
      </c>
      <c r="U10" s="14">
        <v>381</v>
      </c>
      <c r="V10" s="14">
        <v>963</v>
      </c>
      <c r="W10" s="14">
        <v>338</v>
      </c>
      <c r="X10" s="14">
        <v>397</v>
      </c>
      <c r="Y10" s="14">
        <v>713</v>
      </c>
      <c r="Z10" s="14">
        <v>211</v>
      </c>
      <c r="AA10" s="14">
        <v>279</v>
      </c>
      <c r="AB10" s="14">
        <v>490</v>
      </c>
      <c r="AC10" s="158"/>
      <c r="AD10" s="182">
        <f>AVERAGE(B10:AB10)</f>
        <v>756.40740740740739</v>
      </c>
      <c r="AF10" s="1">
        <f>COUNT(B10:AB10)</f>
        <v>27</v>
      </c>
    </row>
    <row r="11" spans="1:32" x14ac:dyDescent="0.2">
      <c r="A11" s="13" t="s">
        <v>5</v>
      </c>
      <c r="B11" s="14">
        <v>111</v>
      </c>
      <c r="C11" s="120">
        <v>142</v>
      </c>
      <c r="D11" s="14"/>
      <c r="E11" s="14">
        <v>532</v>
      </c>
      <c r="F11" s="14">
        <v>128</v>
      </c>
      <c r="G11" s="14">
        <v>26</v>
      </c>
      <c r="H11" s="138">
        <v>43</v>
      </c>
      <c r="I11" s="14">
        <v>221</v>
      </c>
      <c r="J11" s="14"/>
      <c r="K11" s="14">
        <v>100</v>
      </c>
      <c r="L11" s="14">
        <v>51</v>
      </c>
      <c r="M11" s="14">
        <v>271</v>
      </c>
      <c r="N11" s="120">
        <v>230</v>
      </c>
      <c r="O11" s="14">
        <v>314</v>
      </c>
      <c r="P11" s="14">
        <v>26</v>
      </c>
      <c r="Q11" s="14">
        <v>116</v>
      </c>
      <c r="R11" s="14">
        <v>208</v>
      </c>
      <c r="S11" s="17"/>
      <c r="T11" s="14">
        <v>626</v>
      </c>
      <c r="U11" s="14">
        <v>11</v>
      </c>
      <c r="V11" s="14">
        <v>232</v>
      </c>
      <c r="W11" s="14"/>
      <c r="X11" s="14">
        <v>229</v>
      </c>
      <c r="Y11" s="14">
        <v>10</v>
      </c>
      <c r="Z11" s="14"/>
      <c r="AA11" s="14"/>
      <c r="AB11" s="14">
        <v>67</v>
      </c>
      <c r="AC11" s="158"/>
      <c r="AD11" s="182">
        <f>AVERAGE(B11:AB11)</f>
        <v>175.9047619047619</v>
      </c>
      <c r="AF11" s="1">
        <f>COUNT(B11:AB11)</f>
        <v>21</v>
      </c>
    </row>
    <row r="12" spans="1:32" x14ac:dyDescent="0.2">
      <c r="A12" s="9"/>
      <c r="B12" s="15"/>
      <c r="C12" s="15"/>
      <c r="D12" s="15"/>
      <c r="E12" s="15"/>
      <c r="F12" s="15"/>
      <c r="G12" s="15"/>
      <c r="H12" s="129"/>
      <c r="I12" s="15"/>
      <c r="J12" s="15"/>
      <c r="K12" s="15"/>
      <c r="L12" s="98"/>
      <c r="M12" s="15"/>
      <c r="N12" s="15" t="s">
        <v>263</v>
      </c>
      <c r="O12" s="15"/>
      <c r="P12" s="15"/>
      <c r="Q12" s="15"/>
      <c r="R12" s="15"/>
      <c r="S12" s="15"/>
      <c r="T12" s="15"/>
      <c r="U12" s="15"/>
      <c r="V12" s="15"/>
      <c r="W12" s="15"/>
      <c r="X12" s="15"/>
      <c r="Y12" s="15"/>
      <c r="Z12" s="15"/>
      <c r="AA12" s="15"/>
      <c r="AB12" s="15"/>
      <c r="AC12" s="158"/>
      <c r="AD12" s="15"/>
    </row>
    <row r="13" spans="1:32" ht="27" x14ac:dyDescent="0.25">
      <c r="A13" s="16" t="s">
        <v>161</v>
      </c>
      <c r="B13" s="15"/>
      <c r="C13" s="15"/>
      <c r="D13" s="15"/>
      <c r="E13" s="15"/>
      <c r="F13" s="15"/>
      <c r="G13" s="15"/>
      <c r="H13" s="129"/>
      <c r="I13" s="15"/>
      <c r="J13" s="15"/>
      <c r="K13" s="15"/>
      <c r="L13" s="98"/>
      <c r="M13" s="15"/>
      <c r="N13" s="15" t="s">
        <v>263</v>
      </c>
      <c r="O13" s="15"/>
      <c r="P13" s="15"/>
      <c r="Q13" s="15"/>
      <c r="R13" s="15"/>
      <c r="S13" s="15"/>
      <c r="T13" s="15"/>
      <c r="U13" s="15"/>
      <c r="V13" s="15"/>
      <c r="W13" s="15"/>
      <c r="X13" s="15"/>
      <c r="Y13" s="15"/>
      <c r="Z13" s="15"/>
      <c r="AA13" s="15"/>
      <c r="AB13" s="15"/>
      <c r="AC13" s="158"/>
      <c r="AD13" s="15"/>
    </row>
    <row r="14" spans="1:32" x14ac:dyDescent="0.2">
      <c r="A14" s="13" t="s">
        <v>6</v>
      </c>
      <c r="B14" s="125">
        <f xml:space="preserve"> 644/1120</f>
        <v>0.57499999999999996</v>
      </c>
      <c r="C14" s="17">
        <v>0.54800000000000004</v>
      </c>
      <c r="D14" s="17">
        <v>0.51700000000000002</v>
      </c>
      <c r="E14" s="17">
        <v>0.58499999999999996</v>
      </c>
      <c r="F14" s="17">
        <v>0.59</v>
      </c>
      <c r="G14" s="17">
        <v>0.59</v>
      </c>
      <c r="H14" s="123">
        <v>0.65</v>
      </c>
      <c r="I14" s="17">
        <v>0.63</v>
      </c>
      <c r="J14" s="17">
        <v>0.69</v>
      </c>
      <c r="K14" s="17">
        <v>0.57999999999999996</v>
      </c>
      <c r="L14" s="17">
        <v>0.5771604938271605</v>
      </c>
      <c r="M14" s="17">
        <v>0.64</v>
      </c>
      <c r="N14" s="26">
        <v>0.57999999999999996</v>
      </c>
      <c r="O14" s="17">
        <v>0.56000000000000005</v>
      </c>
      <c r="P14" s="17">
        <f>264/444</f>
        <v>0.59459459459459463</v>
      </c>
      <c r="Q14" s="17">
        <f>683/Q10</f>
        <v>0.57588532883642496</v>
      </c>
      <c r="R14" s="17">
        <v>0.59499999999999997</v>
      </c>
      <c r="S14" s="17">
        <v>0.56299999999999994</v>
      </c>
      <c r="T14" s="17">
        <v>0.56000000000000005</v>
      </c>
      <c r="U14" s="17">
        <v>0.7</v>
      </c>
      <c r="V14" s="17">
        <v>0.63</v>
      </c>
      <c r="W14" s="17">
        <v>0.57999999999999996</v>
      </c>
      <c r="X14" s="17">
        <v>0.7</v>
      </c>
      <c r="Y14" s="17">
        <v>0.6</v>
      </c>
      <c r="Z14" s="17">
        <v>0.68200000000000005</v>
      </c>
      <c r="AA14" s="17">
        <v>0.54</v>
      </c>
      <c r="AB14" s="17">
        <v>0.59</v>
      </c>
      <c r="AC14" s="158"/>
      <c r="AD14" s="208">
        <f t="shared" ref="AD14:AD21" si="0">AVERAGE(B14:AB14)</f>
        <v>0.60083853397252518</v>
      </c>
      <c r="AF14" s="1">
        <f t="shared" ref="AF14:AF21" si="1">COUNT(B14:AB14)</f>
        <v>27</v>
      </c>
    </row>
    <row r="15" spans="1:32" x14ac:dyDescent="0.2">
      <c r="A15" s="13" t="s">
        <v>7</v>
      </c>
      <c r="B15" s="125">
        <f xml:space="preserve"> 1 - B14</f>
        <v>0.42500000000000004</v>
      </c>
      <c r="C15" s="17">
        <v>0.45100000000000001</v>
      </c>
      <c r="D15" s="17">
        <v>0.48299999999999998</v>
      </c>
      <c r="E15" s="17">
        <v>0.41489999999999999</v>
      </c>
      <c r="F15" s="17">
        <v>0.41</v>
      </c>
      <c r="G15" s="17">
        <v>0.41</v>
      </c>
      <c r="H15" s="123">
        <v>0.35</v>
      </c>
      <c r="I15" s="17">
        <v>0.37</v>
      </c>
      <c r="J15" s="17">
        <v>0.31</v>
      </c>
      <c r="K15" s="17">
        <v>0.42</v>
      </c>
      <c r="L15" s="17">
        <v>0.4228395061728395</v>
      </c>
      <c r="M15" s="17">
        <v>0.36</v>
      </c>
      <c r="N15" s="26">
        <v>0.42</v>
      </c>
      <c r="O15" s="17">
        <v>0.44</v>
      </c>
      <c r="P15" s="17">
        <f>180/444</f>
        <v>0.40540540540540543</v>
      </c>
      <c r="Q15" s="17">
        <f>503/Q10</f>
        <v>0.42411467116357504</v>
      </c>
      <c r="R15" s="17">
        <v>0.4</v>
      </c>
      <c r="S15" s="17">
        <v>0.436</v>
      </c>
      <c r="T15" s="17">
        <v>0.44</v>
      </c>
      <c r="U15" s="17">
        <v>0.3</v>
      </c>
      <c r="V15" s="17">
        <v>0.37</v>
      </c>
      <c r="W15" s="17">
        <v>0.42</v>
      </c>
      <c r="X15" s="17">
        <v>0.3</v>
      </c>
      <c r="Y15" s="17">
        <v>0.4</v>
      </c>
      <c r="Z15" s="17">
        <v>0.318</v>
      </c>
      <c r="AA15" s="17">
        <v>0.46</v>
      </c>
      <c r="AB15" s="17">
        <v>0.41</v>
      </c>
      <c r="AC15" s="158"/>
      <c r="AD15" s="208">
        <f t="shared" si="0"/>
        <v>0.39889850306451191</v>
      </c>
      <c r="AF15" s="1">
        <f t="shared" si="1"/>
        <v>27</v>
      </c>
    </row>
    <row r="16" spans="1:32" x14ac:dyDescent="0.2">
      <c r="A16" s="13" t="s">
        <v>152</v>
      </c>
      <c r="B16" s="125">
        <f xml:space="preserve"> SUM(28, 35, 5, 1, 2, 13, 19, 50, 2, 1, 8, 13)/SUM(28, 35, 5, 1, 2, 13, 19, 50, 2, 1, 8, 13, 404, 516)</f>
        <v>0.16134913400182316</v>
      </c>
      <c r="C16" s="17">
        <v>0.188</v>
      </c>
      <c r="D16" s="17">
        <v>0.28999999999999998</v>
      </c>
      <c r="E16" s="17">
        <v>0.1207</v>
      </c>
      <c r="F16" s="17">
        <v>0.24</v>
      </c>
      <c r="G16" s="17">
        <v>0.03</v>
      </c>
      <c r="H16" s="123">
        <v>0.09</v>
      </c>
      <c r="I16" s="17">
        <v>0.26</v>
      </c>
      <c r="J16" s="17">
        <v>0.23</v>
      </c>
      <c r="K16" s="17">
        <v>0.157</v>
      </c>
      <c r="L16" s="17">
        <v>8.3462132921174659E-2</v>
      </c>
      <c r="M16" s="17">
        <v>0.23</v>
      </c>
      <c r="N16" s="26">
        <v>0.18</v>
      </c>
      <c r="O16" s="17">
        <v>0.09</v>
      </c>
      <c r="P16" s="17">
        <f>(8+0+16+31+0+28)/410</f>
        <v>0.20243902439024392</v>
      </c>
      <c r="Q16" s="17">
        <f>157/Q10</f>
        <v>0.13237774030354132</v>
      </c>
      <c r="R16" s="17">
        <v>0.10199999999999999</v>
      </c>
      <c r="S16" s="17">
        <v>0</v>
      </c>
      <c r="T16" s="17">
        <v>0.17</v>
      </c>
      <c r="U16" s="17">
        <f>16/381</f>
        <v>4.1994750656167978E-2</v>
      </c>
      <c r="V16" s="17">
        <v>0.18</v>
      </c>
      <c r="W16" s="17">
        <v>0.17</v>
      </c>
      <c r="X16" s="17">
        <v>0.15</v>
      </c>
      <c r="Y16" s="17">
        <v>0.1</v>
      </c>
      <c r="Z16" s="17">
        <v>0.21299999999999999</v>
      </c>
      <c r="AA16" s="17">
        <v>0.17</v>
      </c>
      <c r="AB16" s="17">
        <v>0.06</v>
      </c>
      <c r="AC16" s="158"/>
      <c r="AD16" s="208">
        <f t="shared" si="0"/>
        <v>0.14971565860270189</v>
      </c>
      <c r="AF16" s="1">
        <f t="shared" si="1"/>
        <v>27</v>
      </c>
    </row>
    <row r="17" spans="1:32" ht="25.5" x14ac:dyDescent="0.2">
      <c r="A17" s="18" t="s">
        <v>8</v>
      </c>
      <c r="B17" s="125">
        <f xml:space="preserve"> 376/1120</f>
        <v>0.33571428571428569</v>
      </c>
      <c r="C17" s="17">
        <v>0.85</v>
      </c>
      <c r="D17" s="17">
        <v>0.215</v>
      </c>
      <c r="E17" s="26">
        <v>0.16125999999999999</v>
      </c>
      <c r="F17" s="17">
        <v>0.15</v>
      </c>
      <c r="G17" s="17">
        <v>0.39</v>
      </c>
      <c r="H17" s="123">
        <v>0.249</v>
      </c>
      <c r="I17" s="17">
        <v>0.123</v>
      </c>
      <c r="J17" s="17">
        <v>0.28999999999999998</v>
      </c>
      <c r="K17" s="17">
        <v>0.23599999999999999</v>
      </c>
      <c r="L17" s="17">
        <v>0.22222222222222221</v>
      </c>
      <c r="M17" s="17">
        <v>0.15</v>
      </c>
      <c r="N17" s="17">
        <v>0.17</v>
      </c>
      <c r="O17" s="17">
        <f>119/O10</f>
        <v>0.13461538461538461</v>
      </c>
      <c r="P17" s="17">
        <v>0.25</v>
      </c>
      <c r="Q17" s="17">
        <f>197/Q10</f>
        <v>0.16610455311973019</v>
      </c>
      <c r="R17" s="17">
        <v>0.26400000000000001</v>
      </c>
      <c r="S17" s="17">
        <v>0.11899999999999999</v>
      </c>
      <c r="T17" s="17">
        <v>0.25</v>
      </c>
      <c r="U17" s="17">
        <v>0.17</v>
      </c>
      <c r="V17" s="17">
        <v>0.28999999999999998</v>
      </c>
      <c r="W17" s="17">
        <v>0.22</v>
      </c>
      <c r="X17" s="17">
        <v>0.12</v>
      </c>
      <c r="Y17" s="26">
        <v>0.28799999999999998</v>
      </c>
      <c r="Z17" s="17">
        <v>0.14149999999999999</v>
      </c>
      <c r="AA17" s="17">
        <v>0.23</v>
      </c>
      <c r="AB17" s="17">
        <v>0.16</v>
      </c>
      <c r="AC17" s="158"/>
      <c r="AD17" s="208">
        <f t="shared" si="0"/>
        <v>0.23501542391376382</v>
      </c>
      <c r="AF17" s="1">
        <f t="shared" si="1"/>
        <v>27</v>
      </c>
    </row>
    <row r="18" spans="1:32" s="19" customFormat="1" ht="26.25" customHeight="1" x14ac:dyDescent="0.2">
      <c r="A18" s="18" t="s">
        <v>9</v>
      </c>
      <c r="B18" s="125">
        <f xml:space="preserve"> 139/1120</f>
        <v>0.12410714285714286</v>
      </c>
      <c r="C18" s="17">
        <v>0</v>
      </c>
      <c r="D18" s="17">
        <v>0.17699999999999999</v>
      </c>
      <c r="E18" s="26">
        <v>0.111</v>
      </c>
      <c r="F18" s="17">
        <v>0.09</v>
      </c>
      <c r="G18" s="17">
        <v>0.14000000000000001</v>
      </c>
      <c r="H18" s="123">
        <v>9.8000000000000004E-2</v>
      </c>
      <c r="I18" s="17">
        <v>0.104</v>
      </c>
      <c r="J18" s="17">
        <v>0.18</v>
      </c>
      <c r="K18" s="17">
        <v>0.14599999999999999</v>
      </c>
      <c r="L18" s="17">
        <v>0.12654320987654322</v>
      </c>
      <c r="M18" s="17">
        <v>0.15</v>
      </c>
      <c r="N18" s="17">
        <v>0.14000000000000001</v>
      </c>
      <c r="O18" s="17">
        <f>94/O10</f>
        <v>0.10633484162895927</v>
      </c>
      <c r="P18" s="17">
        <v>0.18</v>
      </c>
      <c r="Q18" s="17">
        <f>250/Q10</f>
        <v>0.21079258010118043</v>
      </c>
      <c r="R18" s="17">
        <v>0.17299999999999999</v>
      </c>
      <c r="S18" s="17">
        <v>0.19700000000000001</v>
      </c>
      <c r="T18" s="17">
        <v>0.14000000000000001</v>
      </c>
      <c r="U18" s="17">
        <v>0.1</v>
      </c>
      <c r="V18" s="17">
        <v>0.17</v>
      </c>
      <c r="W18" s="17">
        <v>0.33</v>
      </c>
      <c r="X18" s="17">
        <v>0.09</v>
      </c>
      <c r="Y18" s="26">
        <v>0.22900000000000001</v>
      </c>
      <c r="Z18" s="17">
        <v>9.9000000000000005E-2</v>
      </c>
      <c r="AA18" s="17">
        <v>0.15</v>
      </c>
      <c r="AB18" s="17">
        <v>0.1</v>
      </c>
      <c r="AC18" s="159"/>
      <c r="AD18" s="208">
        <f t="shared" si="0"/>
        <v>0.14302880646162319</v>
      </c>
      <c r="AF18" s="19">
        <f t="shared" si="1"/>
        <v>27</v>
      </c>
    </row>
    <row r="19" spans="1:32" x14ac:dyDescent="0.2">
      <c r="A19" s="13" t="s">
        <v>10</v>
      </c>
      <c r="B19" s="17">
        <v>0</v>
      </c>
      <c r="C19" s="17">
        <v>0.15</v>
      </c>
      <c r="D19" s="17">
        <v>2.5000000000000001E-2</v>
      </c>
      <c r="E19" s="26">
        <v>0</v>
      </c>
      <c r="F19" s="17">
        <v>0</v>
      </c>
      <c r="G19" s="17">
        <v>0.02</v>
      </c>
      <c r="H19" s="123">
        <v>0.10199999999999999</v>
      </c>
      <c r="I19" s="17">
        <v>0.30599999999999999</v>
      </c>
      <c r="J19" s="17">
        <v>0.11</v>
      </c>
      <c r="K19" s="17">
        <v>0</v>
      </c>
      <c r="L19" s="17">
        <v>0</v>
      </c>
      <c r="M19" s="17">
        <v>0</v>
      </c>
      <c r="N19" s="17">
        <v>0.03</v>
      </c>
      <c r="O19" s="17">
        <f>11/O10</f>
        <v>1.2443438914027148E-2</v>
      </c>
      <c r="P19" s="17">
        <v>0.02</v>
      </c>
      <c r="Q19" s="17">
        <v>0</v>
      </c>
      <c r="R19" s="17">
        <v>0.01</v>
      </c>
      <c r="S19" s="17">
        <v>9.8000000000000004E-2</v>
      </c>
      <c r="T19" s="17">
        <v>0</v>
      </c>
      <c r="U19" s="17">
        <v>0.01</v>
      </c>
      <c r="V19" s="17">
        <v>0.12</v>
      </c>
      <c r="W19" s="17">
        <v>0.05</v>
      </c>
      <c r="X19" s="17">
        <v>0</v>
      </c>
      <c r="Y19" s="26">
        <v>0</v>
      </c>
      <c r="Z19" s="17">
        <v>2.8299999999999999E-2</v>
      </c>
      <c r="AA19" s="17">
        <v>0</v>
      </c>
      <c r="AB19" s="17">
        <v>0.1</v>
      </c>
      <c r="AC19" s="158"/>
      <c r="AD19" s="209">
        <f t="shared" si="0"/>
        <v>4.4138645885704708E-2</v>
      </c>
      <c r="AF19" s="19">
        <f t="shared" si="1"/>
        <v>27</v>
      </c>
    </row>
    <row r="20" spans="1:32" x14ac:dyDescent="0.2">
      <c r="A20" s="13" t="s">
        <v>11</v>
      </c>
      <c r="B20" s="125">
        <f xml:space="preserve"> 442/1120</f>
        <v>0.39464285714285713</v>
      </c>
      <c r="C20" s="17">
        <v>0</v>
      </c>
      <c r="D20" s="17">
        <v>0.41699999999999998</v>
      </c>
      <c r="E20" s="26">
        <v>0.40189999999999998</v>
      </c>
      <c r="F20" s="17">
        <v>0.26</v>
      </c>
      <c r="G20" s="17">
        <v>0.28000000000000003</v>
      </c>
      <c r="H20" s="123">
        <v>0.42699999999999999</v>
      </c>
      <c r="I20" s="17">
        <v>0.41899999999999998</v>
      </c>
      <c r="J20" s="17">
        <v>0.39</v>
      </c>
      <c r="K20" s="17">
        <v>0.4</v>
      </c>
      <c r="L20" s="17">
        <v>0.26697530864197533</v>
      </c>
      <c r="M20" s="17">
        <v>0.37</v>
      </c>
      <c r="N20" s="17">
        <v>0.37</v>
      </c>
      <c r="O20" s="17">
        <f>213/O10</f>
        <v>0.2409502262443439</v>
      </c>
      <c r="P20" s="17">
        <v>0.49</v>
      </c>
      <c r="Q20" s="17">
        <f>457/Q10</f>
        <v>0.38532883642495785</v>
      </c>
      <c r="R20" s="17">
        <v>0.32900000000000001</v>
      </c>
      <c r="S20" s="17">
        <v>0.53500000000000003</v>
      </c>
      <c r="T20" s="17">
        <v>0.42</v>
      </c>
      <c r="U20" s="17">
        <v>0.21</v>
      </c>
      <c r="V20" s="17">
        <v>0.37</v>
      </c>
      <c r="W20" s="17">
        <v>0.41</v>
      </c>
      <c r="X20" s="17">
        <v>0.27</v>
      </c>
      <c r="Y20" s="26">
        <v>0.32300000000000001</v>
      </c>
      <c r="Z20" s="17">
        <v>0.38669999999999999</v>
      </c>
      <c r="AA20" s="17">
        <v>0.14000000000000001</v>
      </c>
      <c r="AB20" s="17">
        <v>0.33</v>
      </c>
      <c r="AC20" s="158"/>
      <c r="AD20" s="208">
        <f t="shared" si="0"/>
        <v>0.34209248994274577</v>
      </c>
      <c r="AF20" s="19">
        <f t="shared" si="1"/>
        <v>27</v>
      </c>
    </row>
    <row r="21" spans="1:32" x14ac:dyDescent="0.2">
      <c r="A21" s="13" t="s">
        <v>12</v>
      </c>
      <c r="B21" s="125">
        <f xml:space="preserve"> 66/1120</f>
        <v>5.8928571428571427E-2</v>
      </c>
      <c r="C21" s="17">
        <v>0</v>
      </c>
      <c r="D21" s="17">
        <v>7.4999999999999997E-2</v>
      </c>
      <c r="E21" s="26">
        <v>4.1300000000000003E-2</v>
      </c>
      <c r="F21" s="17">
        <v>0.08</v>
      </c>
      <c r="G21" s="17">
        <v>0.1</v>
      </c>
      <c r="H21" s="123">
        <v>8.2000000000000003E-2</v>
      </c>
      <c r="I21" s="17">
        <v>4.9000000000000002E-2</v>
      </c>
      <c r="J21" s="17">
        <v>0.03</v>
      </c>
      <c r="K21" s="17">
        <v>7.0999999999999994E-2</v>
      </c>
      <c r="L21" s="17">
        <v>7.2530864197530867E-2</v>
      </c>
      <c r="M21" s="17">
        <v>0.04</v>
      </c>
      <c r="N21" s="17">
        <v>0.09</v>
      </c>
      <c r="O21" s="17">
        <f>54/O10</f>
        <v>6.1085972850678731E-2</v>
      </c>
      <c r="P21" s="17">
        <v>0.05</v>
      </c>
      <c r="Q21" s="17">
        <f>15/Q10</f>
        <v>1.2647554806070826E-2</v>
      </c>
      <c r="R21" s="17">
        <v>6.9000000000000006E-2</v>
      </c>
      <c r="S21" s="17">
        <v>4.9000000000000002E-2</v>
      </c>
      <c r="T21" s="17">
        <v>0.01</v>
      </c>
      <c r="U21" s="17">
        <v>0.04</v>
      </c>
      <c r="V21" s="17">
        <v>0.05</v>
      </c>
      <c r="W21" s="17">
        <v>0.13</v>
      </c>
      <c r="X21" s="17">
        <v>0.15</v>
      </c>
      <c r="Y21" s="26">
        <v>7.6999999999999999E-2</v>
      </c>
      <c r="Z21" s="17">
        <v>0.1275</v>
      </c>
      <c r="AA21" s="17">
        <v>0.05</v>
      </c>
      <c r="AB21" s="17">
        <v>0.06</v>
      </c>
      <c r="AC21" s="158"/>
      <c r="AD21" s="208">
        <f t="shared" si="0"/>
        <v>6.3925665306772281E-2</v>
      </c>
      <c r="AF21" s="19">
        <f t="shared" si="1"/>
        <v>27</v>
      </c>
    </row>
    <row r="22" spans="1:32" x14ac:dyDescent="0.2">
      <c r="A22" s="9"/>
      <c r="B22" s="15"/>
      <c r="C22" s="15"/>
      <c r="D22" s="15"/>
      <c r="E22" s="15"/>
      <c r="F22" s="15"/>
      <c r="G22" s="15"/>
      <c r="H22" s="129"/>
      <c r="I22" s="15"/>
      <c r="J22" s="15"/>
      <c r="K22" s="15"/>
      <c r="L22" s="98"/>
      <c r="M22" s="15"/>
      <c r="N22" s="15" t="s">
        <v>263</v>
      </c>
      <c r="O22" s="15"/>
      <c r="P22" s="15"/>
      <c r="Q22" s="15"/>
      <c r="R22" s="15"/>
      <c r="S22" s="15"/>
      <c r="T22" s="15"/>
      <c r="U22" s="15"/>
      <c r="V22" s="15"/>
      <c r="W22" s="15"/>
      <c r="X22" s="15"/>
      <c r="Y22" s="15"/>
      <c r="Z22" s="15"/>
      <c r="AA22" s="15"/>
      <c r="AB22" s="15"/>
      <c r="AC22" s="158"/>
      <c r="AD22" s="15"/>
    </row>
    <row r="23" spans="1:32" s="22" customFormat="1" ht="25.5" customHeight="1" x14ac:dyDescent="0.2">
      <c r="A23" s="20" t="s">
        <v>162</v>
      </c>
      <c r="B23" s="21"/>
      <c r="C23" s="21"/>
      <c r="D23" s="21"/>
      <c r="E23" s="21"/>
      <c r="F23" s="21"/>
      <c r="G23" s="21"/>
      <c r="H23" s="129"/>
      <c r="I23" s="21"/>
      <c r="J23" s="21"/>
      <c r="K23" s="21"/>
      <c r="L23" s="100"/>
      <c r="M23" s="21"/>
      <c r="N23" s="21" t="s">
        <v>263</v>
      </c>
      <c r="O23" s="21"/>
      <c r="P23" s="21"/>
      <c r="Q23" s="21"/>
      <c r="R23" s="21"/>
      <c r="S23" s="21"/>
      <c r="T23" s="21"/>
      <c r="U23" s="21"/>
      <c r="V23" s="21"/>
      <c r="W23" s="21"/>
      <c r="X23" s="21"/>
      <c r="Y23" s="21"/>
      <c r="Z23" s="21"/>
      <c r="AA23" s="21"/>
      <c r="AB23" s="21"/>
      <c r="AC23" s="160"/>
      <c r="AD23" s="15"/>
    </row>
    <row r="24" spans="1:32" ht="12.75" customHeight="1" x14ac:dyDescent="0.2">
      <c r="A24" s="18" t="s">
        <v>163</v>
      </c>
      <c r="B24" s="14">
        <v>891</v>
      </c>
      <c r="C24" s="14">
        <v>577</v>
      </c>
      <c r="D24" s="14">
        <v>851</v>
      </c>
      <c r="E24" s="14">
        <v>1137</v>
      </c>
      <c r="F24" s="14">
        <v>587</v>
      </c>
      <c r="G24" s="14">
        <v>1138</v>
      </c>
      <c r="H24" s="14">
        <v>299</v>
      </c>
      <c r="I24" s="14">
        <v>657</v>
      </c>
      <c r="J24" s="14">
        <v>175</v>
      </c>
      <c r="K24" s="14">
        <v>812</v>
      </c>
      <c r="L24" s="14">
        <v>688</v>
      </c>
      <c r="M24" s="14">
        <v>1513</v>
      </c>
      <c r="N24" s="120">
        <v>703</v>
      </c>
      <c r="O24" s="14">
        <v>817</v>
      </c>
      <c r="P24" s="14">
        <v>428</v>
      </c>
      <c r="Q24" s="14">
        <v>1079</v>
      </c>
      <c r="R24" s="14">
        <v>1365</v>
      </c>
      <c r="S24" s="14">
        <v>208</v>
      </c>
      <c r="T24" s="14">
        <v>235</v>
      </c>
      <c r="U24" s="14">
        <v>511</v>
      </c>
      <c r="V24" s="14">
        <v>909</v>
      </c>
      <c r="W24" s="14">
        <v>377</v>
      </c>
      <c r="X24" s="14">
        <v>468</v>
      </c>
      <c r="Y24" s="14">
        <v>567</v>
      </c>
      <c r="Z24" s="14">
        <v>210</v>
      </c>
      <c r="AA24" s="14">
        <v>401</v>
      </c>
      <c r="AB24" s="14">
        <v>293</v>
      </c>
      <c r="AC24" s="158"/>
      <c r="AD24" s="182">
        <f t="shared" ref="AD24:AD29" si="2">AVERAGE(B24:AB24)</f>
        <v>662.81481481481478</v>
      </c>
      <c r="AF24" s="1">
        <f t="shared" ref="AF24:AF29" si="3">COUNT(B24:AB24)</f>
        <v>27</v>
      </c>
    </row>
    <row r="25" spans="1:32" ht="25.5" customHeight="1" x14ac:dyDescent="0.2">
      <c r="A25" s="18" t="s">
        <v>164</v>
      </c>
      <c r="B25" s="23">
        <v>310</v>
      </c>
      <c r="C25" s="23">
        <v>228</v>
      </c>
      <c r="D25" s="23">
        <v>162</v>
      </c>
      <c r="E25" s="23">
        <v>405</v>
      </c>
      <c r="F25" s="23">
        <v>124</v>
      </c>
      <c r="G25" s="23">
        <v>561</v>
      </c>
      <c r="H25" s="23">
        <v>94</v>
      </c>
      <c r="I25" s="23">
        <v>121</v>
      </c>
      <c r="J25" s="23">
        <v>98</v>
      </c>
      <c r="K25" s="23">
        <v>488</v>
      </c>
      <c r="L25" s="23">
        <v>135</v>
      </c>
      <c r="M25" s="23">
        <v>410</v>
      </c>
      <c r="N25" s="124">
        <v>110</v>
      </c>
      <c r="O25" s="23">
        <v>164</v>
      </c>
      <c r="P25" s="23">
        <v>309</v>
      </c>
      <c r="Q25" s="23">
        <v>727</v>
      </c>
      <c r="R25" s="23">
        <v>781</v>
      </c>
      <c r="S25" s="23">
        <v>63</v>
      </c>
      <c r="T25" s="23">
        <v>68</v>
      </c>
      <c r="U25" s="23">
        <v>212</v>
      </c>
      <c r="V25" s="23">
        <v>625</v>
      </c>
      <c r="W25" s="23">
        <v>179</v>
      </c>
      <c r="X25" s="23">
        <v>96</v>
      </c>
      <c r="Y25" s="23">
        <v>180</v>
      </c>
      <c r="Z25" s="23">
        <v>58</v>
      </c>
      <c r="AA25" s="23">
        <v>0</v>
      </c>
      <c r="AB25" s="23">
        <v>53</v>
      </c>
      <c r="AC25" s="158"/>
      <c r="AD25" s="210">
        <f t="shared" si="2"/>
        <v>250.40740740740742</v>
      </c>
      <c r="AF25" s="1">
        <f t="shared" si="3"/>
        <v>27</v>
      </c>
    </row>
    <row r="26" spans="1:32" ht="25.5" customHeight="1" x14ac:dyDescent="0.2">
      <c r="A26" s="18" t="s">
        <v>165</v>
      </c>
      <c r="B26" s="23">
        <v>138</v>
      </c>
      <c r="C26" s="23">
        <v>70</v>
      </c>
      <c r="D26" s="23">
        <v>116</v>
      </c>
      <c r="E26" s="23">
        <v>209</v>
      </c>
      <c r="F26" s="23">
        <v>60</v>
      </c>
      <c r="G26" s="23">
        <v>130</v>
      </c>
      <c r="H26" s="23">
        <v>38</v>
      </c>
      <c r="I26" s="23">
        <v>105</v>
      </c>
      <c r="J26" s="23">
        <v>20</v>
      </c>
      <c r="K26" s="23">
        <v>89</v>
      </c>
      <c r="L26" s="23">
        <v>136</v>
      </c>
      <c r="M26" s="23">
        <v>321</v>
      </c>
      <c r="N26" s="124">
        <v>89</v>
      </c>
      <c r="O26" s="23">
        <v>90</v>
      </c>
      <c r="P26" s="23">
        <v>32</v>
      </c>
      <c r="Q26" s="23">
        <v>119</v>
      </c>
      <c r="R26" s="23">
        <v>197</v>
      </c>
      <c r="S26" s="23">
        <v>46</v>
      </c>
      <c r="T26" s="23">
        <v>40</v>
      </c>
      <c r="U26" s="23">
        <v>73</v>
      </c>
      <c r="V26" s="23">
        <v>55</v>
      </c>
      <c r="W26" s="23">
        <v>40</v>
      </c>
      <c r="X26" s="23">
        <v>95</v>
      </c>
      <c r="Y26" s="23">
        <v>107</v>
      </c>
      <c r="Z26" s="23">
        <v>21</v>
      </c>
      <c r="AA26" s="23">
        <v>0</v>
      </c>
      <c r="AB26" s="23">
        <v>28</v>
      </c>
      <c r="AC26" s="158"/>
      <c r="AD26" s="210">
        <f t="shared" si="2"/>
        <v>91.259259259259252</v>
      </c>
      <c r="AF26" s="1">
        <f t="shared" si="3"/>
        <v>27</v>
      </c>
    </row>
    <row r="27" spans="1:32" ht="25.5" customHeight="1" x14ac:dyDescent="0.2">
      <c r="A27" s="18" t="s">
        <v>166</v>
      </c>
      <c r="B27" s="23">
        <v>22</v>
      </c>
      <c r="C27" s="23">
        <v>11</v>
      </c>
      <c r="D27" s="23">
        <v>42</v>
      </c>
      <c r="E27" s="23">
        <v>37</v>
      </c>
      <c r="F27" s="23">
        <v>26</v>
      </c>
      <c r="G27" s="23">
        <v>13</v>
      </c>
      <c r="H27" s="23">
        <v>8</v>
      </c>
      <c r="I27" s="23">
        <v>46</v>
      </c>
      <c r="J27" s="23">
        <v>3</v>
      </c>
      <c r="K27" s="23">
        <v>19</v>
      </c>
      <c r="L27" s="23">
        <v>28</v>
      </c>
      <c r="M27" s="23">
        <v>99</v>
      </c>
      <c r="N27" s="124">
        <v>27</v>
      </c>
      <c r="O27" s="23">
        <v>41</v>
      </c>
      <c r="P27" s="23">
        <v>4</v>
      </c>
      <c r="Q27" s="23">
        <v>7</v>
      </c>
      <c r="R27" s="23">
        <v>26</v>
      </c>
      <c r="S27" s="23">
        <v>11</v>
      </c>
      <c r="T27" s="23">
        <v>3</v>
      </c>
      <c r="U27" s="23">
        <v>12</v>
      </c>
      <c r="V27" s="23">
        <v>11</v>
      </c>
      <c r="W27" s="23">
        <v>9</v>
      </c>
      <c r="X27" s="23">
        <v>29</v>
      </c>
      <c r="Y27" s="23">
        <v>26</v>
      </c>
      <c r="Z27" s="23">
        <v>6</v>
      </c>
      <c r="AA27" s="23">
        <v>14</v>
      </c>
      <c r="AB27" s="23">
        <v>12</v>
      </c>
      <c r="AC27" s="158"/>
      <c r="AD27" s="210">
        <f t="shared" si="2"/>
        <v>21.925925925925927</v>
      </c>
      <c r="AF27" s="1">
        <f t="shared" si="3"/>
        <v>27</v>
      </c>
    </row>
    <row r="28" spans="1:32" s="19" customFormat="1" ht="25.5" x14ac:dyDescent="0.2">
      <c r="A28" s="24" t="s">
        <v>167</v>
      </c>
      <c r="B28" s="14">
        <v>470</v>
      </c>
      <c r="C28" s="14">
        <v>309</v>
      </c>
      <c r="D28" s="14">
        <v>320</v>
      </c>
      <c r="E28" s="14">
        <v>651</v>
      </c>
      <c r="F28" s="14">
        <v>210</v>
      </c>
      <c r="G28" s="14">
        <v>704</v>
      </c>
      <c r="H28" s="14">
        <v>140</v>
      </c>
      <c r="I28" s="14">
        <v>272</v>
      </c>
      <c r="J28" s="14">
        <v>121</v>
      </c>
      <c r="K28" s="14">
        <v>596</v>
      </c>
      <c r="L28" s="14">
        <v>299</v>
      </c>
      <c r="M28" s="14">
        <v>830</v>
      </c>
      <c r="N28" s="120">
        <v>226</v>
      </c>
      <c r="O28" s="14">
        <f>O25+O26+O27</f>
        <v>295</v>
      </c>
      <c r="P28" s="14">
        <v>345</v>
      </c>
      <c r="Q28" s="14">
        <v>853</v>
      </c>
      <c r="R28" s="14">
        <v>1004</v>
      </c>
      <c r="S28" s="14">
        <v>120</v>
      </c>
      <c r="T28" s="14">
        <v>111</v>
      </c>
      <c r="U28" s="14">
        <v>297</v>
      </c>
      <c r="V28" s="14">
        <v>691</v>
      </c>
      <c r="W28" s="14">
        <v>228</v>
      </c>
      <c r="X28" s="14">
        <v>220</v>
      </c>
      <c r="Y28" s="14">
        <v>313</v>
      </c>
      <c r="Z28" s="14">
        <v>85</v>
      </c>
      <c r="AA28" s="14">
        <v>169</v>
      </c>
      <c r="AB28" s="14">
        <v>103</v>
      </c>
      <c r="AC28" s="159"/>
      <c r="AD28" s="182">
        <f t="shared" si="2"/>
        <v>369.7037037037037</v>
      </c>
      <c r="AF28" s="19">
        <f t="shared" si="3"/>
        <v>27</v>
      </c>
    </row>
    <row r="29" spans="1:32" ht="29.25" customHeight="1" x14ac:dyDescent="0.2">
      <c r="A29" s="25" t="s">
        <v>168</v>
      </c>
      <c r="B29" s="26">
        <v>0.53</v>
      </c>
      <c r="C29" s="26">
        <v>0.54</v>
      </c>
      <c r="D29" s="26">
        <v>0.38</v>
      </c>
      <c r="E29" s="26">
        <v>0.5726</v>
      </c>
      <c r="F29" s="26">
        <v>0.36</v>
      </c>
      <c r="G29" s="26">
        <v>0.62</v>
      </c>
      <c r="H29" s="26">
        <v>0.47</v>
      </c>
      <c r="I29" s="26">
        <v>0.41</v>
      </c>
      <c r="J29" s="26">
        <v>0.69</v>
      </c>
      <c r="K29" s="26">
        <v>0.73399999999999999</v>
      </c>
      <c r="L29" s="101">
        <v>0.43</v>
      </c>
      <c r="M29" s="26">
        <v>0.55000000000000004</v>
      </c>
      <c r="N29" s="26">
        <v>0.32</v>
      </c>
      <c r="O29" s="26">
        <f>O28/O24</f>
        <v>0.36107711138310894</v>
      </c>
      <c r="P29" s="26">
        <v>0.80600000000000005</v>
      </c>
      <c r="Q29" s="26">
        <v>0.79</v>
      </c>
      <c r="R29" s="26">
        <v>0.74</v>
      </c>
      <c r="S29" s="26">
        <v>0.57699999999999996</v>
      </c>
      <c r="T29" s="26">
        <v>0.47</v>
      </c>
      <c r="U29" s="26">
        <v>0.57999999999999996</v>
      </c>
      <c r="V29" s="26">
        <v>0.76</v>
      </c>
      <c r="W29" s="26">
        <v>0.6</v>
      </c>
      <c r="X29" s="26">
        <v>0.47</v>
      </c>
      <c r="Y29" s="26">
        <v>0.55000000000000004</v>
      </c>
      <c r="Z29" s="26">
        <v>0.40500000000000003</v>
      </c>
      <c r="AA29" s="26">
        <v>0.42</v>
      </c>
      <c r="AB29" s="26">
        <v>0.35</v>
      </c>
      <c r="AC29" s="158"/>
      <c r="AD29" s="209">
        <f t="shared" si="2"/>
        <v>0.53650655968085581</v>
      </c>
      <c r="AF29" s="19">
        <f t="shared" si="3"/>
        <v>27</v>
      </c>
    </row>
    <row r="30" spans="1:32" ht="12.75" customHeight="1" x14ac:dyDescent="0.2">
      <c r="A30" s="27"/>
      <c r="B30" s="15"/>
      <c r="C30" s="15"/>
      <c r="D30" s="15"/>
      <c r="E30" s="15"/>
      <c r="F30" s="15"/>
      <c r="G30" s="15"/>
      <c r="H30" s="129"/>
      <c r="I30" s="15"/>
      <c r="J30" s="15"/>
      <c r="K30" s="15"/>
      <c r="L30" s="98"/>
      <c r="M30" s="15"/>
      <c r="N30" s="15"/>
      <c r="O30" s="15"/>
      <c r="P30" s="15"/>
      <c r="Q30" s="15"/>
      <c r="R30" s="15"/>
      <c r="S30" s="15"/>
      <c r="T30" s="15"/>
      <c r="U30" s="15"/>
      <c r="V30" s="15"/>
      <c r="W30" s="15"/>
      <c r="X30" s="15"/>
      <c r="Y30" s="15"/>
      <c r="Z30" s="15"/>
      <c r="AA30" s="15"/>
      <c r="AB30" s="15"/>
      <c r="AC30" s="158"/>
      <c r="AD30" s="15"/>
    </row>
    <row r="31" spans="1:32" ht="27" x14ac:dyDescent="0.25">
      <c r="A31" s="16" t="s">
        <v>169</v>
      </c>
      <c r="B31" s="15"/>
      <c r="C31" s="15"/>
      <c r="D31" s="15"/>
      <c r="E31" s="15"/>
      <c r="F31" s="15"/>
      <c r="G31" s="15"/>
      <c r="H31" s="129"/>
      <c r="I31" s="15"/>
      <c r="J31" s="15"/>
      <c r="K31" s="15"/>
      <c r="L31" s="98"/>
      <c r="M31" s="15"/>
      <c r="N31" s="15"/>
      <c r="O31" s="15"/>
      <c r="P31" s="15"/>
      <c r="Q31" s="15"/>
      <c r="R31" s="15"/>
      <c r="S31" s="15"/>
      <c r="T31" s="15"/>
      <c r="U31" s="15"/>
      <c r="V31" s="15"/>
      <c r="W31" s="15"/>
      <c r="X31" s="15"/>
      <c r="Y31" s="15"/>
      <c r="Z31" s="15"/>
      <c r="AA31" s="15"/>
      <c r="AB31" s="15"/>
      <c r="AC31" s="158"/>
      <c r="AD31" s="15"/>
    </row>
    <row r="32" spans="1:32" ht="40.5" customHeight="1" x14ac:dyDescent="0.2">
      <c r="A32" s="24" t="s">
        <v>170</v>
      </c>
      <c r="B32" s="17">
        <v>0.76</v>
      </c>
      <c r="C32" s="17">
        <v>0.72</v>
      </c>
      <c r="D32" s="17">
        <v>0.62</v>
      </c>
      <c r="E32" s="17">
        <v>0.85799999999999998</v>
      </c>
      <c r="F32" s="17">
        <v>0.59</v>
      </c>
      <c r="G32" s="17">
        <v>0.76</v>
      </c>
      <c r="H32" s="17">
        <v>0.75</v>
      </c>
      <c r="I32" s="17">
        <v>0.71</v>
      </c>
      <c r="J32" s="17">
        <v>0.83</v>
      </c>
      <c r="K32" s="17">
        <v>0.88100000000000001</v>
      </c>
      <c r="L32" s="17">
        <v>0.63</v>
      </c>
      <c r="M32" s="17">
        <v>0.8</v>
      </c>
      <c r="N32" s="26">
        <v>0.68</v>
      </c>
      <c r="O32" s="17">
        <v>0.65739999999999998</v>
      </c>
      <c r="P32" s="17">
        <v>0.87</v>
      </c>
      <c r="Q32" s="17">
        <v>0.9</v>
      </c>
      <c r="R32" s="17">
        <v>0.89</v>
      </c>
      <c r="S32" s="17">
        <v>0.80300000000000005</v>
      </c>
      <c r="T32" s="17">
        <v>0.72</v>
      </c>
      <c r="U32" s="17">
        <v>0.71</v>
      </c>
      <c r="V32" s="17">
        <v>0.83</v>
      </c>
      <c r="W32" s="17">
        <v>0.78</v>
      </c>
      <c r="X32" s="17">
        <v>0.78</v>
      </c>
      <c r="Y32" s="17">
        <v>0.78</v>
      </c>
      <c r="Z32" s="17">
        <v>0.60099999999999998</v>
      </c>
      <c r="AA32" s="17">
        <v>0.71</v>
      </c>
      <c r="AB32" s="17">
        <v>0.72</v>
      </c>
      <c r="AC32" s="158"/>
      <c r="AD32" s="209">
        <f>AVERAGE(B32:AB32)</f>
        <v>0.75334814814814821</v>
      </c>
      <c r="AF32" s="1">
        <f>COUNT(B32:AB32)</f>
        <v>27</v>
      </c>
    </row>
    <row r="33" spans="1:32" ht="12.75" customHeight="1" x14ac:dyDescent="0.2">
      <c r="A33" s="9"/>
      <c r="B33" s="15"/>
      <c r="C33" s="15"/>
      <c r="D33" s="15"/>
      <c r="E33" s="15"/>
      <c r="F33" s="15"/>
      <c r="G33" s="15"/>
      <c r="H33" s="129"/>
      <c r="I33" s="15"/>
      <c r="J33" s="15"/>
      <c r="K33" s="15"/>
      <c r="L33" s="98"/>
      <c r="M33" s="15"/>
      <c r="N33" s="15"/>
      <c r="O33" s="15"/>
      <c r="P33" s="15"/>
      <c r="Q33" s="15"/>
      <c r="R33" s="15"/>
      <c r="S33" s="15"/>
      <c r="T33" s="15"/>
      <c r="U33" s="15"/>
      <c r="V33" s="15"/>
      <c r="W33" s="15"/>
      <c r="X33" s="15"/>
      <c r="Y33" s="15"/>
      <c r="Z33" s="15"/>
      <c r="AA33" s="15"/>
      <c r="AB33" s="15"/>
      <c r="AC33" s="158"/>
      <c r="AD33" s="15"/>
    </row>
    <row r="34" spans="1:32" ht="12.75" customHeight="1" x14ac:dyDescent="0.25">
      <c r="A34" s="11" t="s">
        <v>171</v>
      </c>
      <c r="B34" s="15"/>
      <c r="C34" s="15"/>
      <c r="D34" s="15"/>
      <c r="E34" s="15"/>
      <c r="F34" s="15"/>
      <c r="G34" s="15"/>
      <c r="H34" s="129"/>
      <c r="I34" s="15"/>
      <c r="J34" s="15"/>
      <c r="K34" s="15"/>
      <c r="L34" s="98"/>
      <c r="M34" s="15"/>
      <c r="N34" s="15"/>
      <c r="O34" s="15"/>
      <c r="P34" s="15"/>
      <c r="Q34" s="15"/>
      <c r="R34" s="15"/>
      <c r="S34" s="15"/>
      <c r="T34" s="15"/>
      <c r="U34" s="15"/>
      <c r="V34" s="15"/>
      <c r="W34" s="15"/>
      <c r="X34" s="15"/>
      <c r="Y34" s="15"/>
      <c r="Z34" s="15"/>
      <c r="AA34" s="15"/>
      <c r="AB34" s="15"/>
      <c r="AC34" s="158"/>
      <c r="AD34" s="15"/>
    </row>
    <row r="35" spans="1:32" s="19" customFormat="1" ht="12.75" customHeight="1" x14ac:dyDescent="0.2">
      <c r="A35" s="13" t="s">
        <v>13</v>
      </c>
      <c r="B35" s="17">
        <f xml:space="preserve"> 157/250</f>
        <v>0.628</v>
      </c>
      <c r="C35" s="17">
        <v>0.46</v>
      </c>
      <c r="D35" s="17">
        <v>0.63</v>
      </c>
      <c r="E35" s="26"/>
      <c r="F35" s="17"/>
      <c r="G35" s="17"/>
      <c r="H35" s="17"/>
      <c r="I35" s="17"/>
      <c r="J35" s="17"/>
      <c r="K35" s="17"/>
      <c r="L35" s="17">
        <v>0.55000000000000004</v>
      </c>
      <c r="M35" s="17"/>
      <c r="N35" s="26"/>
      <c r="O35" s="17"/>
      <c r="P35" s="17"/>
      <c r="Q35" s="17">
        <v>0.28000000000000003</v>
      </c>
      <c r="R35" s="17">
        <v>0.25679999999999997</v>
      </c>
      <c r="S35" s="17">
        <v>0.63</v>
      </c>
      <c r="T35" s="131" t="s">
        <v>265</v>
      </c>
      <c r="U35" s="17"/>
      <c r="V35" s="26">
        <v>0.7</v>
      </c>
      <c r="W35" s="26">
        <v>0.94</v>
      </c>
      <c r="X35" s="17"/>
      <c r="Y35" s="26"/>
      <c r="Z35" s="17"/>
      <c r="AA35" s="17"/>
      <c r="AB35" s="17"/>
      <c r="AC35" s="159"/>
      <c r="AD35" s="148"/>
      <c r="AF35" s="54">
        <f>COUNT(B35:AB35)</f>
        <v>9</v>
      </c>
    </row>
    <row r="36" spans="1:32" ht="27" customHeight="1" x14ac:dyDescent="0.2">
      <c r="A36" s="18" t="s">
        <v>14</v>
      </c>
      <c r="B36" s="17">
        <f xml:space="preserve"> 23/156</f>
        <v>0.14743589743589744</v>
      </c>
      <c r="C36" s="17">
        <v>0.21</v>
      </c>
      <c r="D36" s="17">
        <v>0.32</v>
      </c>
      <c r="E36" s="26"/>
      <c r="F36" s="17"/>
      <c r="G36" s="17"/>
      <c r="H36" s="17"/>
      <c r="I36" s="17"/>
      <c r="J36" s="17"/>
      <c r="K36" s="17">
        <v>0.223</v>
      </c>
      <c r="L36" s="17">
        <v>0.43</v>
      </c>
      <c r="M36" s="17"/>
      <c r="N36" s="26"/>
      <c r="O36" s="17"/>
      <c r="P36" s="17"/>
      <c r="Q36" s="17">
        <v>0.42</v>
      </c>
      <c r="R36" s="17">
        <v>0.5081</v>
      </c>
      <c r="S36" s="17">
        <v>0.20799999999999999</v>
      </c>
      <c r="T36" s="131" t="s">
        <v>265</v>
      </c>
      <c r="U36" s="17"/>
      <c r="V36" s="26">
        <v>0.44</v>
      </c>
      <c r="W36" s="26">
        <v>0.24</v>
      </c>
      <c r="X36" s="17"/>
      <c r="Y36" s="26">
        <v>0.18</v>
      </c>
      <c r="Z36" s="17"/>
      <c r="AA36" s="17"/>
      <c r="AB36" s="17"/>
      <c r="AC36" s="158"/>
      <c r="AD36" s="148"/>
      <c r="AF36" s="1">
        <f>COUNT(B36:AB36)</f>
        <v>11</v>
      </c>
    </row>
    <row r="37" spans="1:32" ht="12.75" customHeight="1" x14ac:dyDescent="0.2">
      <c r="A37" s="28"/>
      <c r="B37" s="15"/>
      <c r="C37" s="15"/>
      <c r="D37" s="15"/>
      <c r="E37" s="15"/>
      <c r="F37" s="15"/>
      <c r="G37" s="15"/>
      <c r="H37" s="129"/>
      <c r="I37" s="15"/>
      <c r="J37" s="15"/>
      <c r="K37" s="15"/>
      <c r="L37" s="98"/>
      <c r="M37" s="15"/>
      <c r="N37" s="15"/>
      <c r="O37" s="15"/>
      <c r="P37" s="15"/>
      <c r="Q37" s="15"/>
      <c r="R37" s="15"/>
      <c r="S37" s="15"/>
      <c r="T37" s="15"/>
      <c r="U37" s="15"/>
      <c r="V37" s="15"/>
      <c r="W37" s="15"/>
      <c r="X37" s="15"/>
      <c r="Y37" s="15"/>
      <c r="Z37" s="15"/>
      <c r="AA37" s="15"/>
      <c r="AB37" s="15"/>
      <c r="AC37" s="158"/>
      <c r="AD37" s="15"/>
    </row>
    <row r="38" spans="1:32" s="31" customFormat="1" ht="27" customHeight="1" x14ac:dyDescent="0.2">
      <c r="A38" s="29" t="s">
        <v>172</v>
      </c>
      <c r="B38" s="30"/>
      <c r="C38" s="30"/>
      <c r="D38" s="30"/>
      <c r="E38" s="30"/>
      <c r="F38" s="30"/>
      <c r="G38" s="30"/>
      <c r="H38" s="144"/>
      <c r="I38" s="30"/>
      <c r="J38" s="30"/>
      <c r="K38" s="30"/>
      <c r="L38" s="102"/>
      <c r="M38" s="30"/>
      <c r="N38" s="30"/>
      <c r="O38" s="30"/>
      <c r="P38" s="30"/>
      <c r="Q38" s="30"/>
      <c r="R38" s="30"/>
      <c r="S38" s="30"/>
      <c r="T38" s="30"/>
      <c r="U38" s="30"/>
      <c r="V38" s="30"/>
      <c r="W38" s="30"/>
      <c r="X38" s="30"/>
      <c r="Y38" s="30"/>
      <c r="Z38" s="30"/>
      <c r="AA38" s="30"/>
      <c r="AB38" s="30"/>
      <c r="AC38" s="161"/>
      <c r="AD38" s="15"/>
    </row>
    <row r="39" spans="1:32" x14ac:dyDescent="0.2">
      <c r="A39" s="1"/>
      <c r="B39" s="1"/>
      <c r="C39" s="1"/>
    </row>
    <row r="40" spans="1:32" x14ac:dyDescent="0.2">
      <c r="A40" s="1"/>
      <c r="B40" s="1"/>
      <c r="C40" s="1"/>
    </row>
    <row r="41" spans="1:32" x14ac:dyDescent="0.2">
      <c r="A41" s="1"/>
      <c r="B41" s="1"/>
      <c r="C41" s="1"/>
    </row>
    <row r="42" spans="1:32" x14ac:dyDescent="0.2">
      <c r="A42" s="1"/>
      <c r="B42" s="1"/>
      <c r="C42" s="1"/>
    </row>
  </sheetData>
  <mergeCells count="3">
    <mergeCell ref="A1:C1"/>
    <mergeCell ref="A2:C2"/>
    <mergeCell ref="A4:C4"/>
  </mergeCells>
  <printOptions horizontalCentered="1" gridLines="1"/>
  <pageMargins left="0.25" right="0.25" top="0.25" bottom="0.75" header="1" footer="0.25"/>
  <pageSetup firstPageNumber="6" orientation="portrait" useFirstPageNumber="1" r:id="rId1"/>
  <headerFooter alignWithMargins="0">
    <oddFooter>&amp;C&amp;"Times New Roman,Regular"&amp;9p. 2 of 6&amp;R&amp;"Times New Roman,Regular"&amp;9 2-27-08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7"/>
  <sheetViews>
    <sheetView zoomScaleNormal="100" workbookViewId="0">
      <selection sqref="A1:C1"/>
    </sheetView>
  </sheetViews>
  <sheetFormatPr defaultRowHeight="12.75" x14ac:dyDescent="0.2"/>
  <cols>
    <col min="1" max="1" width="52.42578125" style="70" customWidth="1"/>
    <col min="2" max="2" width="10.42578125" style="70" customWidth="1"/>
    <col min="3" max="3" width="9.140625" style="70" customWidth="1"/>
    <col min="4" max="8" width="9.140625" style="19"/>
    <col min="9" max="9" width="9.7109375" style="19" customWidth="1"/>
    <col min="10" max="14" width="9.140625" style="19"/>
    <col min="15" max="15" width="10.85546875" style="19" customWidth="1"/>
    <col min="16" max="19" width="9.140625" style="19"/>
    <col min="20" max="20" width="9.5703125" style="19" customWidth="1"/>
    <col min="21" max="21" width="9.7109375" style="19" customWidth="1"/>
    <col min="22" max="22" width="10.5703125" style="19" customWidth="1"/>
    <col min="23" max="27" width="9.140625" style="19"/>
    <col min="28" max="28" width="8.85546875" style="19" customWidth="1"/>
    <col min="29" max="29" width="2.42578125" style="19" customWidth="1"/>
    <col min="30" max="30" width="10.42578125" style="19" customWidth="1"/>
    <col min="31" max="16384" width="9.140625" style="19"/>
  </cols>
  <sheetData>
    <row r="1" spans="1:32" ht="18.75" customHeight="1" x14ac:dyDescent="0.3">
      <c r="A1" s="211" t="s">
        <v>51</v>
      </c>
      <c r="B1" s="212"/>
      <c r="C1" s="212"/>
    </row>
    <row r="2" spans="1:32" ht="18.75" x14ac:dyDescent="0.3">
      <c r="A2" s="213" t="s">
        <v>156</v>
      </c>
      <c r="B2" s="214"/>
      <c r="C2" s="214"/>
    </row>
    <row r="3" spans="1:32" ht="9.75" customHeight="1" x14ac:dyDescent="0.3">
      <c r="A3" s="2"/>
      <c r="B3" s="3"/>
      <c r="C3" s="3"/>
    </row>
    <row r="4" spans="1:32" ht="16.5" customHeight="1" x14ac:dyDescent="0.3">
      <c r="A4" s="213" t="s">
        <v>52</v>
      </c>
      <c r="B4" s="214"/>
      <c r="C4" s="214"/>
    </row>
    <row r="5" spans="1:32" ht="7.5" customHeight="1" x14ac:dyDescent="0.2">
      <c r="A5" s="4"/>
      <c r="B5" s="5"/>
      <c r="C5" s="5"/>
    </row>
    <row r="6" spans="1:32" s="50" customFormat="1" ht="72.75" x14ac:dyDescent="0.25">
      <c r="A6" s="6" t="s">
        <v>2</v>
      </c>
      <c r="B6" s="7" t="s">
        <v>193</v>
      </c>
      <c r="C6" s="7" t="s">
        <v>194</v>
      </c>
      <c r="D6" s="99" t="s">
        <v>195</v>
      </c>
      <c r="E6" s="99" t="s">
        <v>196</v>
      </c>
      <c r="F6" s="99" t="s">
        <v>197</v>
      </c>
      <c r="G6" s="99" t="s">
        <v>198</v>
      </c>
      <c r="H6" s="99" t="s">
        <v>199</v>
      </c>
      <c r="I6" s="99" t="s">
        <v>200</v>
      </c>
      <c r="J6" s="99" t="s">
        <v>201</v>
      </c>
      <c r="K6" s="99" t="s">
        <v>202</v>
      </c>
      <c r="L6" s="99" t="s">
        <v>203</v>
      </c>
      <c r="M6" s="99" t="s">
        <v>204</v>
      </c>
      <c r="N6" s="99" t="s">
        <v>205</v>
      </c>
      <c r="O6" s="99" t="s">
        <v>334</v>
      </c>
      <c r="P6" s="99" t="s">
        <v>206</v>
      </c>
      <c r="Q6" s="99" t="s">
        <v>207</v>
      </c>
      <c r="R6" s="99" t="s">
        <v>208</v>
      </c>
      <c r="S6" s="99" t="s">
        <v>209</v>
      </c>
      <c r="T6" s="99" t="s">
        <v>210</v>
      </c>
      <c r="U6" s="99" t="s">
        <v>211</v>
      </c>
      <c r="V6" s="99" t="s">
        <v>212</v>
      </c>
      <c r="W6" s="99" t="s">
        <v>213</v>
      </c>
      <c r="X6" s="99" t="s">
        <v>214</v>
      </c>
      <c r="Y6" s="99" t="s">
        <v>215</v>
      </c>
      <c r="Z6" s="99" t="s">
        <v>216</v>
      </c>
      <c r="AA6" s="99" t="s">
        <v>217</v>
      </c>
      <c r="AB6" s="99" t="s">
        <v>218</v>
      </c>
      <c r="AC6" s="15"/>
      <c r="AD6" s="99" t="s">
        <v>284</v>
      </c>
    </row>
    <row r="7" spans="1:32" ht="12.75" customHeight="1" x14ac:dyDescent="0.2">
      <c r="A7" s="33"/>
      <c r="B7" s="15"/>
      <c r="C7" s="15"/>
      <c r="D7" s="15"/>
      <c r="E7" s="15"/>
      <c r="F7" s="15"/>
      <c r="G7" s="15"/>
      <c r="H7" s="15"/>
      <c r="I7" s="15"/>
      <c r="J7" s="15"/>
      <c r="K7" s="15"/>
      <c r="L7" s="98"/>
      <c r="M7" s="15"/>
      <c r="N7" s="15"/>
      <c r="O7" s="15"/>
      <c r="P7" s="15"/>
      <c r="Q7" s="15"/>
      <c r="R7" s="15"/>
      <c r="S7" s="15"/>
      <c r="T7" s="15"/>
      <c r="U7" s="15"/>
      <c r="V7" s="15"/>
      <c r="W7" s="15"/>
      <c r="X7" s="15"/>
      <c r="Y7" s="15"/>
      <c r="Z7" s="15"/>
      <c r="AA7" s="15"/>
      <c r="AB7" s="15"/>
      <c r="AC7" s="15"/>
      <c r="AD7" s="15"/>
    </row>
    <row r="8" spans="1:32" ht="13.5" x14ac:dyDescent="0.25">
      <c r="A8" s="51" t="s">
        <v>173</v>
      </c>
      <c r="B8" s="15"/>
      <c r="C8" s="15"/>
      <c r="D8" s="15"/>
      <c r="E8" s="15"/>
      <c r="F8" s="15"/>
      <c r="G8" s="15"/>
      <c r="H8" s="15"/>
      <c r="I8" s="15"/>
      <c r="J8" s="15"/>
      <c r="K8" s="15"/>
      <c r="L8" s="98"/>
      <c r="M8" s="15"/>
      <c r="N8" s="15"/>
      <c r="O8" s="15"/>
      <c r="P8" s="15"/>
      <c r="Q8" s="15"/>
      <c r="R8" s="15"/>
      <c r="S8" s="15"/>
      <c r="T8" s="15"/>
      <c r="U8" s="15"/>
      <c r="V8" s="15"/>
      <c r="W8" s="15"/>
      <c r="X8" s="15"/>
      <c r="Y8" s="15"/>
      <c r="Z8" s="15"/>
      <c r="AA8" s="15"/>
      <c r="AB8" s="15"/>
      <c r="AC8" s="15"/>
      <c r="AD8" s="15"/>
    </row>
    <row r="9" spans="1:32" x14ac:dyDescent="0.2">
      <c r="A9" s="52" t="s">
        <v>53</v>
      </c>
      <c r="B9" s="15"/>
      <c r="C9" s="15"/>
      <c r="D9" s="15"/>
      <c r="E9" s="15"/>
      <c r="F9" s="15"/>
      <c r="G9" s="15"/>
      <c r="H9" s="15"/>
      <c r="I9" s="15"/>
      <c r="J9" s="15"/>
      <c r="K9" s="15"/>
      <c r="L9" s="98"/>
      <c r="M9" s="15"/>
      <c r="N9" s="15"/>
      <c r="O9" s="15"/>
      <c r="P9" s="15"/>
      <c r="Q9" s="15"/>
      <c r="R9" s="15"/>
      <c r="S9" s="15"/>
      <c r="T9" s="15"/>
      <c r="U9" s="15"/>
      <c r="V9" s="15"/>
      <c r="W9" s="15"/>
      <c r="X9" s="15"/>
      <c r="Y9" s="15"/>
      <c r="Z9" s="15"/>
      <c r="AA9" s="15"/>
      <c r="AB9" s="15"/>
      <c r="AC9" s="15"/>
      <c r="AD9" s="15"/>
    </row>
    <row r="10" spans="1:32" s="54" customFormat="1" x14ac:dyDescent="0.2">
      <c r="A10" s="53" t="s">
        <v>54</v>
      </c>
      <c r="B10" s="23">
        <v>193</v>
      </c>
      <c r="C10" s="23">
        <v>175</v>
      </c>
      <c r="D10" s="23">
        <v>168</v>
      </c>
      <c r="E10" s="23">
        <v>305</v>
      </c>
      <c r="F10" s="23">
        <v>167</v>
      </c>
      <c r="G10" s="23">
        <v>206</v>
      </c>
      <c r="H10" s="23">
        <v>84</v>
      </c>
      <c r="I10" s="23">
        <v>231</v>
      </c>
      <c r="J10" s="23">
        <v>69</v>
      </c>
      <c r="K10" s="23">
        <v>216</v>
      </c>
      <c r="L10" s="23">
        <v>134</v>
      </c>
      <c r="M10" s="23">
        <v>257</v>
      </c>
      <c r="N10" s="124">
        <v>203</v>
      </c>
      <c r="O10" s="23">
        <v>246</v>
      </c>
      <c r="P10" s="23">
        <v>136</v>
      </c>
      <c r="Q10" s="23">
        <v>241</v>
      </c>
      <c r="R10" s="23">
        <v>318</v>
      </c>
      <c r="S10" s="23">
        <v>62</v>
      </c>
      <c r="T10" s="23">
        <v>208</v>
      </c>
      <c r="U10" s="23">
        <v>120</v>
      </c>
      <c r="V10" s="23">
        <v>246</v>
      </c>
      <c r="W10" s="23">
        <v>93</v>
      </c>
      <c r="X10" s="23">
        <v>125</v>
      </c>
      <c r="Y10" s="124">
        <v>211</v>
      </c>
      <c r="Z10" s="23">
        <v>58</v>
      </c>
      <c r="AA10" s="23">
        <v>86</v>
      </c>
      <c r="AB10" s="23">
        <v>130</v>
      </c>
      <c r="AC10" s="15"/>
      <c r="AD10" s="176">
        <f>AVERAGE(B10:AB10)</f>
        <v>173.62962962962962</v>
      </c>
      <c r="AF10" s="163">
        <f>COUNT(B10:AB10)</f>
        <v>27</v>
      </c>
    </row>
    <row r="11" spans="1:32" s="54" customFormat="1" x14ac:dyDescent="0.2">
      <c r="A11" s="53" t="s">
        <v>55</v>
      </c>
      <c r="B11" s="23">
        <v>276</v>
      </c>
      <c r="C11" s="23">
        <v>72</v>
      </c>
      <c r="D11" s="23">
        <v>64</v>
      </c>
      <c r="E11" s="23">
        <v>91</v>
      </c>
      <c r="F11" s="23">
        <v>74</v>
      </c>
      <c r="G11" s="23">
        <v>258</v>
      </c>
      <c r="H11" s="23">
        <v>87</v>
      </c>
      <c r="I11" s="23">
        <v>85</v>
      </c>
      <c r="J11" s="23">
        <v>37</v>
      </c>
      <c r="K11" s="23">
        <v>245</v>
      </c>
      <c r="L11" s="23">
        <v>213</v>
      </c>
      <c r="M11" s="23">
        <v>280</v>
      </c>
      <c r="N11" s="124">
        <v>143</v>
      </c>
      <c r="O11" s="23">
        <v>173</v>
      </c>
      <c r="P11" s="23">
        <v>90</v>
      </c>
      <c r="Q11" s="23">
        <v>111</v>
      </c>
      <c r="R11" s="23">
        <v>52</v>
      </c>
      <c r="S11" s="23">
        <v>56</v>
      </c>
      <c r="T11" s="23">
        <v>150</v>
      </c>
      <c r="U11" s="23">
        <v>52</v>
      </c>
      <c r="V11" s="23">
        <v>131</v>
      </c>
      <c r="W11" s="23">
        <v>100</v>
      </c>
      <c r="X11" s="23">
        <v>89</v>
      </c>
      <c r="Y11" s="124">
        <v>65</v>
      </c>
      <c r="Z11" s="23">
        <v>39</v>
      </c>
      <c r="AA11" s="23">
        <v>88</v>
      </c>
      <c r="AB11" s="23">
        <v>50</v>
      </c>
      <c r="AC11" s="15"/>
      <c r="AD11" s="176">
        <f>AVERAGE(B11:AB11)</f>
        <v>117.44444444444444</v>
      </c>
      <c r="AF11" s="54">
        <f>COUNT(B11:AB11)</f>
        <v>27</v>
      </c>
    </row>
    <row r="12" spans="1:32" s="56" customFormat="1" ht="13.5" x14ac:dyDescent="0.25">
      <c r="A12" s="55" t="s">
        <v>148</v>
      </c>
      <c r="B12" s="35">
        <f xml:space="preserve"> 1322.1/12</f>
        <v>110.175</v>
      </c>
      <c r="C12" s="35">
        <v>23.4</v>
      </c>
      <c r="D12" s="35">
        <v>32</v>
      </c>
      <c r="E12" s="114">
        <v>59</v>
      </c>
      <c r="F12" s="35">
        <v>25</v>
      </c>
      <c r="G12" s="35">
        <v>146.6</v>
      </c>
      <c r="H12" s="35">
        <v>37.200000000000003</v>
      </c>
      <c r="I12" s="35">
        <v>56</v>
      </c>
      <c r="J12" s="35"/>
      <c r="K12" s="35"/>
      <c r="L12" s="35">
        <v>81.87</v>
      </c>
      <c r="M12" s="35">
        <v>132.4</v>
      </c>
      <c r="N12" s="114">
        <v>59.13</v>
      </c>
      <c r="O12" s="114">
        <v>66.900000000000006</v>
      </c>
      <c r="P12" s="35"/>
      <c r="Q12" s="35">
        <f>496/12</f>
        <v>41.333333333333336</v>
      </c>
      <c r="R12" s="35">
        <v>27.5</v>
      </c>
      <c r="S12" s="35">
        <v>22.3</v>
      </c>
      <c r="T12" s="35">
        <v>48</v>
      </c>
      <c r="U12" s="35">
        <v>20</v>
      </c>
      <c r="V12" s="114">
        <v>50.1</v>
      </c>
      <c r="W12" s="35">
        <v>27.1</v>
      </c>
      <c r="X12" s="35">
        <v>29.67</v>
      </c>
      <c r="Y12" s="114">
        <v>21.8</v>
      </c>
      <c r="Z12" s="35">
        <v>12.58</v>
      </c>
      <c r="AA12" s="35">
        <v>27</v>
      </c>
      <c r="AB12" s="124">
        <v>19.7</v>
      </c>
      <c r="AC12" s="15"/>
      <c r="AD12" s="177">
        <f>AVERAGE(B12:AB12)</f>
        <v>49.03159722222221</v>
      </c>
      <c r="AF12" s="56">
        <f>COUNT(B12:AB12)</f>
        <v>24</v>
      </c>
    </row>
    <row r="13" spans="1:32" s="56" customFormat="1" x14ac:dyDescent="0.2">
      <c r="A13" s="55" t="s">
        <v>56</v>
      </c>
      <c r="B13" s="35">
        <f xml:space="preserve"> B10 + B12</f>
        <v>303.17500000000001</v>
      </c>
      <c r="C13" s="35">
        <v>198.4</v>
      </c>
      <c r="D13" s="35">
        <v>200</v>
      </c>
      <c r="E13" s="114">
        <v>364.6</v>
      </c>
      <c r="F13" s="35">
        <f>SUM(F12,F10)</f>
        <v>192</v>
      </c>
      <c r="G13" s="35">
        <v>352.6</v>
      </c>
      <c r="H13" s="35">
        <v>121.2</v>
      </c>
      <c r="I13" s="35">
        <v>287</v>
      </c>
      <c r="J13" s="35"/>
      <c r="K13" s="35"/>
      <c r="L13" s="103">
        <v>215.87</v>
      </c>
      <c r="M13" s="35">
        <v>391.4</v>
      </c>
      <c r="N13" s="114">
        <v>262.10000000000002</v>
      </c>
      <c r="O13" s="103">
        <f>O10+O12</f>
        <v>312.89999999999998</v>
      </c>
      <c r="P13" s="35"/>
      <c r="Q13" s="35">
        <f>Q10+Q12</f>
        <v>282.33333333333331</v>
      </c>
      <c r="R13" s="35">
        <v>345.5</v>
      </c>
      <c r="S13" s="35">
        <v>84.3</v>
      </c>
      <c r="T13" s="35">
        <v>256</v>
      </c>
      <c r="U13" s="35">
        <v>140</v>
      </c>
      <c r="V13" s="114">
        <v>296.10000000000002</v>
      </c>
      <c r="W13" s="35">
        <v>120.1</v>
      </c>
      <c r="X13" s="35">
        <v>154.66999999999999</v>
      </c>
      <c r="Y13" s="114">
        <v>232.8</v>
      </c>
      <c r="Z13" s="35">
        <v>70.58</v>
      </c>
      <c r="AA13" s="35">
        <v>114</v>
      </c>
      <c r="AB13" s="114">
        <v>149.69999999999999</v>
      </c>
      <c r="AC13" s="15"/>
      <c r="AD13" s="177">
        <f>AVERAGE(B13:AB13)</f>
        <v>226.97201388888894</v>
      </c>
      <c r="AF13" s="56">
        <f>COUNT(B13:AB13)</f>
        <v>24</v>
      </c>
    </row>
    <row r="14" spans="1:32" x14ac:dyDescent="0.2">
      <c r="A14" s="52" t="s">
        <v>57</v>
      </c>
      <c r="B14" s="15"/>
      <c r="C14" s="15"/>
      <c r="D14" s="15"/>
      <c r="E14" s="15"/>
      <c r="F14" s="15"/>
      <c r="G14" s="15"/>
      <c r="H14" s="15"/>
      <c r="I14" s="15"/>
      <c r="J14" s="15"/>
      <c r="K14" s="15"/>
      <c r="L14" s="98"/>
      <c r="M14" s="15"/>
      <c r="N14" s="130"/>
      <c r="O14" s="15"/>
      <c r="P14" s="15"/>
      <c r="Q14" s="15"/>
      <c r="R14" s="15"/>
      <c r="S14" s="15"/>
      <c r="T14" s="15"/>
      <c r="U14" s="15"/>
      <c r="V14" s="15"/>
      <c r="W14" s="15"/>
      <c r="X14" s="15"/>
      <c r="Y14" s="15"/>
      <c r="Z14" s="15"/>
      <c r="AA14" s="15"/>
      <c r="AB14" s="15"/>
      <c r="AC14" s="15"/>
      <c r="AD14" s="15"/>
    </row>
    <row r="15" spans="1:32" x14ac:dyDescent="0.2">
      <c r="A15" s="52" t="s">
        <v>58</v>
      </c>
      <c r="B15" s="17">
        <f xml:space="preserve"> SUM(10, 1, 17, 14, 3)/SUM(10, 1, 17, 14, 3, 143)</f>
        <v>0.23936170212765959</v>
      </c>
      <c r="C15" s="17">
        <v>0.23</v>
      </c>
      <c r="D15" s="17">
        <v>0.09</v>
      </c>
      <c r="E15" s="17">
        <v>0.13</v>
      </c>
      <c r="F15" s="17">
        <v>0.13</v>
      </c>
      <c r="G15" s="17">
        <v>0.09</v>
      </c>
      <c r="H15" s="17">
        <v>0.06</v>
      </c>
      <c r="I15" s="17">
        <v>0.14000000000000001</v>
      </c>
      <c r="J15" s="17">
        <v>0.12</v>
      </c>
      <c r="K15" s="17">
        <v>0.2407</v>
      </c>
      <c r="L15" s="17">
        <v>5.9701492537313432E-2</v>
      </c>
      <c r="M15" s="17">
        <v>0.14000000000000001</v>
      </c>
      <c r="N15" s="26">
        <v>0.13300000000000001</v>
      </c>
      <c r="O15" s="17">
        <f>14/(O10-9)</f>
        <v>5.9071729957805907E-2</v>
      </c>
      <c r="P15" s="17">
        <v>0.12</v>
      </c>
      <c r="Q15" s="17">
        <f>(1+6+20+8)/Q10</f>
        <v>0.14522821576763487</v>
      </c>
      <c r="R15" s="17">
        <v>0.08</v>
      </c>
      <c r="S15" s="17"/>
      <c r="T15" s="17">
        <v>8.2000000000000003E-2</v>
      </c>
      <c r="U15" s="17">
        <v>7.4999999999999997E-2</v>
      </c>
      <c r="V15" s="17">
        <v>0.15</v>
      </c>
      <c r="W15" s="17">
        <v>8.1000000000000003E-2</v>
      </c>
      <c r="X15" s="17">
        <v>0.09</v>
      </c>
      <c r="Y15" s="26">
        <v>0.14699999999999999</v>
      </c>
      <c r="Z15" s="17">
        <v>8.8999999999999996E-2</v>
      </c>
      <c r="AA15" s="17">
        <v>7.0000000000000007E-2</v>
      </c>
      <c r="AB15" s="17">
        <v>0.12</v>
      </c>
      <c r="AC15" s="15"/>
      <c r="AD15" s="175">
        <f t="shared" ref="AD15:AD20" si="0">AVERAGE(B15:AB15)</f>
        <v>0.11965627463040049</v>
      </c>
      <c r="AF15" s="19">
        <f t="shared" ref="AF15:AF20" si="1">COUNT(B15:AB15)</f>
        <v>26</v>
      </c>
    </row>
    <row r="16" spans="1:32" x14ac:dyDescent="0.2">
      <c r="A16" s="52" t="s">
        <v>59</v>
      </c>
      <c r="B16" s="17">
        <f xml:space="preserve"> 145/193</f>
        <v>0.75129533678756477</v>
      </c>
      <c r="C16" s="17"/>
      <c r="D16" s="17">
        <v>0.54</v>
      </c>
      <c r="E16" s="17">
        <v>0.47</v>
      </c>
      <c r="F16" s="17">
        <v>0.48</v>
      </c>
      <c r="G16" s="17">
        <v>0.62</v>
      </c>
      <c r="H16" s="17">
        <v>0.7</v>
      </c>
      <c r="I16" s="17">
        <v>0.51</v>
      </c>
      <c r="J16" s="17">
        <v>0.65</v>
      </c>
      <c r="K16" s="17">
        <v>0.63400000000000001</v>
      </c>
      <c r="L16" s="17">
        <v>0.54477611940298509</v>
      </c>
      <c r="M16" s="17">
        <v>0.7</v>
      </c>
      <c r="N16" s="26">
        <v>0.63100000000000001</v>
      </c>
      <c r="O16" s="17">
        <f>106/O10</f>
        <v>0.43089430894308944</v>
      </c>
      <c r="P16" s="17">
        <f>97/136</f>
        <v>0.71323529411764708</v>
      </c>
      <c r="Q16" s="17">
        <f>174/Q10</f>
        <v>0.72199170124481327</v>
      </c>
      <c r="R16" s="17">
        <v>0.72599999999999998</v>
      </c>
      <c r="S16" s="17">
        <v>0.80600000000000005</v>
      </c>
      <c r="T16" s="17">
        <v>0.47</v>
      </c>
      <c r="U16" s="17">
        <f>(76+10)/172</f>
        <v>0.5</v>
      </c>
      <c r="V16" s="17">
        <v>0.61</v>
      </c>
      <c r="W16" s="17">
        <v>0.81799999999999995</v>
      </c>
      <c r="X16" s="17">
        <v>0.64</v>
      </c>
      <c r="Y16" s="26">
        <v>0.59699999999999998</v>
      </c>
      <c r="Z16" s="17">
        <v>0.51700000000000002</v>
      </c>
      <c r="AA16" s="17">
        <v>0.53</v>
      </c>
      <c r="AB16" s="26">
        <v>0.46</v>
      </c>
      <c r="AC16" s="15"/>
      <c r="AD16" s="175">
        <f t="shared" si="0"/>
        <v>0.60658433694215763</v>
      </c>
      <c r="AF16" s="19">
        <f t="shared" si="1"/>
        <v>26</v>
      </c>
    </row>
    <row r="17" spans="1:32" x14ac:dyDescent="0.2">
      <c r="A17" s="52" t="s">
        <v>60</v>
      </c>
      <c r="B17" s="17">
        <f xml:space="preserve"> 22/193</f>
        <v>0.11398963730569948</v>
      </c>
      <c r="C17" s="17"/>
      <c r="D17" s="17">
        <v>0.25</v>
      </c>
      <c r="E17" s="17">
        <v>0.43</v>
      </c>
      <c r="F17" s="17">
        <v>0.27</v>
      </c>
      <c r="G17" s="17">
        <v>0.3</v>
      </c>
      <c r="H17" s="17">
        <v>0.14000000000000001</v>
      </c>
      <c r="I17" s="17">
        <v>0.23</v>
      </c>
      <c r="J17" s="17">
        <v>0.2</v>
      </c>
      <c r="K17" s="17">
        <v>0.32900000000000001</v>
      </c>
      <c r="L17" s="17">
        <v>0.36567164179104478</v>
      </c>
      <c r="M17" s="17">
        <v>0.22</v>
      </c>
      <c r="N17" s="118">
        <v>0.17199999999999999</v>
      </c>
      <c r="O17" s="17">
        <f>93/O10</f>
        <v>0.37804878048780488</v>
      </c>
      <c r="P17" s="17">
        <f>37/136</f>
        <v>0.27205882352941174</v>
      </c>
      <c r="Q17" s="17">
        <f>31/Q10</f>
        <v>0.12863070539419086</v>
      </c>
      <c r="R17" s="17">
        <v>9.4E-2</v>
      </c>
      <c r="S17" s="17">
        <v>1</v>
      </c>
      <c r="T17" s="17">
        <v>0.33700000000000002</v>
      </c>
      <c r="U17" s="17">
        <f>25/172</f>
        <v>0.14534883720930233</v>
      </c>
      <c r="V17" s="17">
        <v>0.19</v>
      </c>
      <c r="W17" s="17">
        <v>0.14099999999999999</v>
      </c>
      <c r="X17" s="17">
        <v>0.34</v>
      </c>
      <c r="Y17" s="26">
        <v>0.20399999999999999</v>
      </c>
      <c r="Z17" s="17">
        <v>0.224</v>
      </c>
      <c r="AA17" s="17">
        <v>0.16</v>
      </c>
      <c r="AB17" s="26">
        <v>0.28999999999999998</v>
      </c>
      <c r="AC17" s="15"/>
      <c r="AD17" s="175">
        <f t="shared" si="0"/>
        <v>0.26633647791220977</v>
      </c>
      <c r="AF17" s="19">
        <f t="shared" si="1"/>
        <v>26</v>
      </c>
    </row>
    <row r="18" spans="1:32" ht="12.75" customHeight="1" x14ac:dyDescent="0.2">
      <c r="A18" s="52" t="s">
        <v>61</v>
      </c>
      <c r="B18" s="17">
        <f xml:space="preserve"> 88/193</f>
        <v>0.45595854922279794</v>
      </c>
      <c r="C18" s="17">
        <v>0.502</v>
      </c>
      <c r="D18" s="17">
        <v>0.48</v>
      </c>
      <c r="E18" s="17">
        <v>0.55000000000000004</v>
      </c>
      <c r="F18" s="17">
        <v>0.41</v>
      </c>
      <c r="G18" s="17">
        <v>0.48</v>
      </c>
      <c r="H18" s="17">
        <v>0.44</v>
      </c>
      <c r="I18" s="17">
        <v>0.47</v>
      </c>
      <c r="J18" s="17">
        <v>0.48</v>
      </c>
      <c r="K18" s="17">
        <v>0.49099999999999999</v>
      </c>
      <c r="L18" s="17">
        <v>0.41791044776119401</v>
      </c>
      <c r="M18" s="17">
        <v>0.49</v>
      </c>
      <c r="N18" s="26">
        <v>0.41399999999999998</v>
      </c>
      <c r="O18" s="17">
        <f>80/O10</f>
        <v>0.32520325203252032</v>
      </c>
      <c r="P18" s="17">
        <v>0.46</v>
      </c>
      <c r="Q18" s="17">
        <f>98/Q10</f>
        <v>0.40663900414937759</v>
      </c>
      <c r="R18" s="17">
        <v>0.4</v>
      </c>
      <c r="S18" s="17">
        <v>0.28999999999999998</v>
      </c>
      <c r="T18" s="17">
        <v>0.438</v>
      </c>
      <c r="U18" s="17">
        <v>0.53</v>
      </c>
      <c r="V18" s="17">
        <v>0.48</v>
      </c>
      <c r="W18" s="17">
        <v>0.44400000000000001</v>
      </c>
      <c r="X18" s="17">
        <v>0.51</v>
      </c>
      <c r="Y18" s="26">
        <v>0.45</v>
      </c>
      <c r="Z18" s="17">
        <v>0.50600000000000001</v>
      </c>
      <c r="AA18" s="17">
        <v>0.43</v>
      </c>
      <c r="AB18" s="17">
        <v>0.51</v>
      </c>
      <c r="AC18" s="15"/>
      <c r="AD18" s="175">
        <f t="shared" si="0"/>
        <v>0.45410041678392182</v>
      </c>
      <c r="AF18" s="19">
        <f t="shared" si="1"/>
        <v>27</v>
      </c>
    </row>
    <row r="19" spans="1:32" x14ac:dyDescent="0.2">
      <c r="A19" s="52" t="s">
        <v>62</v>
      </c>
      <c r="B19" s="17">
        <f xml:space="preserve"> 105/193</f>
        <v>0.54404145077720212</v>
      </c>
      <c r="C19" s="17">
        <v>0.498</v>
      </c>
      <c r="D19" s="17">
        <v>0.52</v>
      </c>
      <c r="E19" s="17">
        <v>0.45</v>
      </c>
      <c r="F19" s="17">
        <v>0.59</v>
      </c>
      <c r="G19" s="17">
        <v>0.52</v>
      </c>
      <c r="H19" s="17">
        <v>0.56000000000000005</v>
      </c>
      <c r="I19" s="26">
        <v>0.53</v>
      </c>
      <c r="J19" s="17">
        <v>0.52</v>
      </c>
      <c r="K19" s="17">
        <v>0.50900000000000001</v>
      </c>
      <c r="L19" s="17">
        <v>0.58208955223880599</v>
      </c>
      <c r="M19" s="17">
        <v>0.51</v>
      </c>
      <c r="N19" s="26">
        <v>0.58599999999999997</v>
      </c>
      <c r="O19" s="17">
        <f>165/O10</f>
        <v>0.67073170731707321</v>
      </c>
      <c r="P19" s="17">
        <v>0.54</v>
      </c>
      <c r="Q19" s="17">
        <f>143/Q10</f>
        <v>0.59336099585062241</v>
      </c>
      <c r="R19" s="17">
        <v>0.6</v>
      </c>
      <c r="S19" s="17">
        <v>0.71</v>
      </c>
      <c r="T19" s="17">
        <v>0.56299999999999994</v>
      </c>
      <c r="U19" s="17">
        <v>0.46600000000000003</v>
      </c>
      <c r="V19" s="17">
        <v>0.52</v>
      </c>
      <c r="W19" s="17">
        <v>0.55600000000000005</v>
      </c>
      <c r="X19" s="17">
        <v>0.49</v>
      </c>
      <c r="Y19" s="26">
        <v>0.55000000000000004</v>
      </c>
      <c r="Z19" s="17">
        <v>0.49399999999999999</v>
      </c>
      <c r="AA19" s="17">
        <v>0.56999999999999995</v>
      </c>
      <c r="AB19" s="17">
        <v>0.49</v>
      </c>
      <c r="AC19" s="15"/>
      <c r="AD19" s="175">
        <f t="shared" si="0"/>
        <v>0.54563791504384096</v>
      </c>
      <c r="AF19" s="19">
        <f t="shared" si="1"/>
        <v>27</v>
      </c>
    </row>
    <row r="20" spans="1:32" x14ac:dyDescent="0.2">
      <c r="A20" s="52" t="s">
        <v>63</v>
      </c>
      <c r="B20" s="17">
        <f xml:space="preserve"> 47/193</f>
        <v>0.24352331606217617</v>
      </c>
      <c r="C20" s="17"/>
      <c r="D20" s="17">
        <v>0.16</v>
      </c>
      <c r="E20" s="26"/>
      <c r="F20" s="17">
        <v>0.27</v>
      </c>
      <c r="G20" s="17"/>
      <c r="H20" s="17"/>
      <c r="I20" s="17"/>
      <c r="J20" s="17">
        <v>0.19</v>
      </c>
      <c r="K20" s="17">
        <v>0.28199999999999997</v>
      </c>
      <c r="L20" s="17">
        <v>0.26865671641791045</v>
      </c>
      <c r="M20" s="17">
        <v>0.25</v>
      </c>
      <c r="N20" s="26">
        <v>0.217</v>
      </c>
      <c r="O20" s="17">
        <f>52/O10</f>
        <v>0.21138211382113822</v>
      </c>
      <c r="P20" s="17">
        <f>34/136</f>
        <v>0.25</v>
      </c>
      <c r="Q20" s="17">
        <f>68/Q10</f>
        <v>0.28215767634854771</v>
      </c>
      <c r="R20" s="17">
        <v>0.13800000000000001</v>
      </c>
      <c r="S20" s="17">
        <v>0.21</v>
      </c>
      <c r="T20" s="17">
        <v>0.16800000000000001</v>
      </c>
      <c r="U20" s="134">
        <v>0.28795809999999999</v>
      </c>
      <c r="V20" s="26">
        <v>0.2</v>
      </c>
      <c r="W20" s="17">
        <v>0.192</v>
      </c>
      <c r="X20" s="17"/>
      <c r="Y20" s="26">
        <v>0.18</v>
      </c>
      <c r="Z20" s="17">
        <v>0.19</v>
      </c>
      <c r="AA20" s="17">
        <v>0.15</v>
      </c>
      <c r="AB20" s="26"/>
      <c r="AC20" s="15"/>
      <c r="AD20" s="175">
        <f t="shared" si="0"/>
        <v>0.21703389613248869</v>
      </c>
      <c r="AF20" s="19">
        <f t="shared" si="1"/>
        <v>20</v>
      </c>
    </row>
    <row r="21" spans="1:32" ht="12" customHeight="1" x14ac:dyDescent="0.2">
      <c r="A21" s="57"/>
      <c r="B21" s="15"/>
      <c r="C21" s="15"/>
      <c r="D21" s="15"/>
      <c r="E21" s="15"/>
      <c r="F21" s="15"/>
      <c r="G21" s="15"/>
      <c r="H21" s="15"/>
      <c r="I21" s="15"/>
      <c r="J21" s="15"/>
      <c r="K21" s="15"/>
      <c r="L21" s="98"/>
      <c r="M21" s="15"/>
      <c r="N21" s="15"/>
      <c r="O21" s="15"/>
      <c r="P21" s="15"/>
      <c r="Q21" s="15"/>
      <c r="R21" s="15"/>
      <c r="S21" s="15"/>
      <c r="T21" s="15"/>
      <c r="U21" s="15"/>
      <c r="V21" s="15"/>
      <c r="W21" s="15"/>
      <c r="X21" s="15"/>
      <c r="Y21" s="15"/>
      <c r="Z21" s="15"/>
      <c r="AA21" s="15"/>
      <c r="AB21" s="15"/>
      <c r="AC21" s="15"/>
      <c r="AD21" s="15"/>
    </row>
    <row r="22" spans="1:32" ht="13.5" x14ac:dyDescent="0.25">
      <c r="A22" s="51" t="s">
        <v>174</v>
      </c>
      <c r="B22" s="15"/>
      <c r="C22" s="15"/>
      <c r="D22" s="15"/>
      <c r="E22" s="15"/>
      <c r="F22" s="15"/>
      <c r="G22" s="15"/>
      <c r="H22" s="15"/>
      <c r="I22" s="15"/>
      <c r="J22" s="15"/>
      <c r="K22" s="15"/>
      <c r="L22" s="98"/>
      <c r="M22" s="15"/>
      <c r="N22" s="15"/>
      <c r="O22" s="15"/>
      <c r="P22" s="15"/>
      <c r="Q22" s="15"/>
      <c r="R22" s="15"/>
      <c r="S22" s="15"/>
      <c r="T22" s="15"/>
      <c r="U22" s="15"/>
      <c r="V22" s="15"/>
      <c r="W22" s="15"/>
      <c r="X22" s="15"/>
      <c r="Y22" s="15"/>
      <c r="Z22" s="15"/>
      <c r="AA22" s="15"/>
      <c r="AB22" s="15"/>
      <c r="AC22" s="15"/>
      <c r="AD22" s="15"/>
    </row>
    <row r="23" spans="1:32" x14ac:dyDescent="0.2">
      <c r="A23" s="52" t="s">
        <v>64</v>
      </c>
      <c r="B23" s="58">
        <v>78729</v>
      </c>
      <c r="C23" s="58">
        <v>64468.94</v>
      </c>
      <c r="D23" s="58">
        <v>56611</v>
      </c>
      <c r="E23" s="58">
        <v>59066.813800000004</v>
      </c>
      <c r="F23" s="58">
        <v>54427</v>
      </c>
      <c r="G23" s="58">
        <v>75089</v>
      </c>
      <c r="H23" s="58">
        <v>69524.154761904763</v>
      </c>
      <c r="I23" s="58">
        <v>63027</v>
      </c>
      <c r="J23" s="58">
        <v>68102</v>
      </c>
      <c r="K23" s="58">
        <v>93229.68</v>
      </c>
      <c r="L23" s="58">
        <v>59210.09</v>
      </c>
      <c r="M23" s="58">
        <v>76647</v>
      </c>
      <c r="N23" s="115">
        <v>58056</v>
      </c>
      <c r="O23" s="58">
        <f>14364680/245</f>
        <v>58631.34693877551</v>
      </c>
      <c r="P23" s="58"/>
      <c r="Q23" s="58">
        <v>73538.19</v>
      </c>
      <c r="R23" s="58">
        <v>61780</v>
      </c>
      <c r="S23" s="58">
        <v>106950</v>
      </c>
      <c r="T23" s="58">
        <v>62219</v>
      </c>
      <c r="U23" s="58">
        <v>57121</v>
      </c>
      <c r="V23" s="115">
        <v>66740</v>
      </c>
      <c r="W23" s="58">
        <v>62043</v>
      </c>
      <c r="X23" s="58">
        <v>60897</v>
      </c>
      <c r="Y23" s="115">
        <v>67548</v>
      </c>
      <c r="Z23" s="58">
        <v>49800</v>
      </c>
      <c r="AA23" s="58">
        <v>57292</v>
      </c>
      <c r="AB23" s="115">
        <v>55420</v>
      </c>
      <c r="AC23" s="15"/>
      <c r="AD23" s="178">
        <f>AVERAGE(B23:AB23)</f>
        <v>66006.431365410783</v>
      </c>
      <c r="AF23" s="19">
        <f>COUNT(B23:AB23)</f>
        <v>26</v>
      </c>
    </row>
    <row r="24" spans="1:32" x14ac:dyDescent="0.2">
      <c r="A24" s="52" t="s">
        <v>65</v>
      </c>
      <c r="B24" s="58">
        <v>94328</v>
      </c>
      <c r="C24" s="58">
        <v>67663.45</v>
      </c>
      <c r="D24" s="58">
        <v>72860</v>
      </c>
      <c r="E24" s="58">
        <v>73214.088600000003</v>
      </c>
      <c r="F24" s="58">
        <v>62876</v>
      </c>
      <c r="G24" s="58">
        <v>90027</v>
      </c>
      <c r="H24" s="58">
        <v>85085.65789473684</v>
      </c>
      <c r="I24" s="58">
        <v>76003</v>
      </c>
      <c r="J24" s="58">
        <v>81942</v>
      </c>
      <c r="K24" s="58">
        <v>116578.19</v>
      </c>
      <c r="L24" s="58">
        <v>70571.87</v>
      </c>
      <c r="M24" s="58">
        <v>89530</v>
      </c>
      <c r="N24" s="115">
        <v>67931</v>
      </c>
      <c r="O24" s="58">
        <f>3335194/42</f>
        <v>79409.380952380947</v>
      </c>
      <c r="P24" s="58"/>
      <c r="Q24" s="58">
        <v>89622</v>
      </c>
      <c r="R24" s="58">
        <v>70332</v>
      </c>
      <c r="S24" s="58">
        <v>132350</v>
      </c>
      <c r="T24" s="58">
        <v>92471</v>
      </c>
      <c r="U24" s="58">
        <v>72795</v>
      </c>
      <c r="V24" s="115">
        <v>82130</v>
      </c>
      <c r="W24" s="58">
        <v>75331</v>
      </c>
      <c r="X24" s="58">
        <v>77687</v>
      </c>
      <c r="Y24" s="115">
        <v>84371</v>
      </c>
      <c r="Z24" s="58">
        <v>60495</v>
      </c>
      <c r="AA24" s="58">
        <v>75411</v>
      </c>
      <c r="AB24" s="115">
        <v>68125</v>
      </c>
      <c r="AC24" s="15"/>
      <c r="AD24" s="178">
        <f>AVERAGE(B24:AB24)</f>
        <v>81120.755286427608</v>
      </c>
      <c r="AF24" s="19">
        <f>COUNT(B24:AB24)</f>
        <v>26</v>
      </c>
    </row>
    <row r="25" spans="1:32" x14ac:dyDescent="0.2">
      <c r="A25" s="52" t="s">
        <v>66</v>
      </c>
      <c r="B25" s="58">
        <v>73393</v>
      </c>
      <c r="C25" s="58">
        <v>51974.92</v>
      </c>
      <c r="D25" s="58">
        <v>59737</v>
      </c>
      <c r="E25" s="58">
        <v>63642.804300000003</v>
      </c>
      <c r="F25" s="58">
        <v>54177</v>
      </c>
      <c r="G25" s="58">
        <v>73909</v>
      </c>
      <c r="H25" s="58">
        <v>63888.1</v>
      </c>
      <c r="I25" s="58">
        <v>67007</v>
      </c>
      <c r="J25" s="58">
        <v>66578</v>
      </c>
      <c r="K25" s="58">
        <v>92227.79</v>
      </c>
      <c r="L25" s="58">
        <v>61145.68</v>
      </c>
      <c r="M25" s="58">
        <v>70882</v>
      </c>
      <c r="N25" s="115">
        <v>56932</v>
      </c>
      <c r="O25" s="58">
        <f>4314289/69</f>
        <v>62525.927536231888</v>
      </c>
      <c r="P25" s="58"/>
      <c r="Q25" s="58">
        <v>70968.11</v>
      </c>
      <c r="R25" s="58">
        <v>56613</v>
      </c>
      <c r="S25" s="58">
        <v>102200</v>
      </c>
      <c r="T25" s="58">
        <v>67044</v>
      </c>
      <c r="U25" s="58">
        <v>55748</v>
      </c>
      <c r="V25" s="115">
        <v>62601</v>
      </c>
      <c r="W25" s="58">
        <v>59096</v>
      </c>
      <c r="X25" s="58">
        <v>59897</v>
      </c>
      <c r="Y25" s="115">
        <v>67384</v>
      </c>
      <c r="Z25" s="58">
        <v>50658</v>
      </c>
      <c r="AA25" s="58">
        <v>61515</v>
      </c>
      <c r="AB25" s="115">
        <v>55062</v>
      </c>
      <c r="AC25" s="15"/>
      <c r="AD25" s="178">
        <f>AVERAGE(B25:AB25)</f>
        <v>64877.166609085849</v>
      </c>
      <c r="AF25" s="19">
        <f>COUNT(B25:AB25)</f>
        <v>26</v>
      </c>
    </row>
    <row r="26" spans="1:32" x14ac:dyDescent="0.2">
      <c r="A26" s="52" t="s">
        <v>67</v>
      </c>
      <c r="B26" s="58">
        <v>59717</v>
      </c>
      <c r="C26" s="58">
        <v>44849.13</v>
      </c>
      <c r="D26" s="58">
        <v>49586</v>
      </c>
      <c r="E26" s="58">
        <v>53441.7117</v>
      </c>
      <c r="F26" s="58">
        <v>51063</v>
      </c>
      <c r="G26" s="58">
        <v>59975</v>
      </c>
      <c r="H26" s="58">
        <v>52044.954545454544</v>
      </c>
      <c r="I26" s="58">
        <v>57163</v>
      </c>
      <c r="J26" s="58">
        <v>54849</v>
      </c>
      <c r="K26" s="58">
        <v>73390.84</v>
      </c>
      <c r="L26" s="58">
        <v>53658.01</v>
      </c>
      <c r="M26" s="58">
        <v>62644</v>
      </c>
      <c r="N26" s="115">
        <v>47791</v>
      </c>
      <c r="O26" s="58">
        <f>5762611/111</f>
        <v>51915.414414414416</v>
      </c>
      <c r="P26" s="58"/>
      <c r="Q26" s="58">
        <v>60852.35</v>
      </c>
      <c r="R26" s="58">
        <v>49098</v>
      </c>
      <c r="S26" s="58">
        <v>78200</v>
      </c>
      <c r="T26" s="58">
        <v>56448</v>
      </c>
      <c r="U26" s="58">
        <v>48951</v>
      </c>
      <c r="V26" s="115">
        <v>55373</v>
      </c>
      <c r="W26" s="58">
        <v>49844</v>
      </c>
      <c r="X26" s="58">
        <v>51220</v>
      </c>
      <c r="Y26" s="115">
        <v>61315</v>
      </c>
      <c r="Z26" s="58">
        <v>44579</v>
      </c>
      <c r="AA26" s="58">
        <v>56878</v>
      </c>
      <c r="AB26" s="115">
        <v>49820</v>
      </c>
      <c r="AC26" s="15"/>
      <c r="AD26" s="178">
        <f>AVERAGE(B26:AB26)</f>
        <v>55179.477333071882</v>
      </c>
      <c r="AF26" s="19">
        <f>COUNT(B26:AB26)</f>
        <v>26</v>
      </c>
    </row>
    <row r="27" spans="1:32" x14ac:dyDescent="0.2">
      <c r="A27" s="52" t="s">
        <v>68</v>
      </c>
      <c r="B27" s="58">
        <v>48181</v>
      </c>
      <c r="C27" s="58"/>
      <c r="D27" s="58">
        <v>38184</v>
      </c>
      <c r="E27" s="58">
        <v>44930.341</v>
      </c>
      <c r="F27" s="58">
        <v>41787</v>
      </c>
      <c r="G27" s="58">
        <v>55254</v>
      </c>
      <c r="H27" s="58">
        <v>46005.75</v>
      </c>
      <c r="I27" s="58">
        <v>39825</v>
      </c>
      <c r="J27" s="58">
        <v>42021</v>
      </c>
      <c r="K27" s="58"/>
      <c r="L27" s="58">
        <v>48412.72</v>
      </c>
      <c r="M27" s="58">
        <v>60423</v>
      </c>
      <c r="N27" s="115">
        <v>43808</v>
      </c>
      <c r="O27" s="58">
        <f>(686969+265617)/(18+5)</f>
        <v>41416.782608695656</v>
      </c>
      <c r="P27" s="58"/>
      <c r="Q27" s="58">
        <v>52987.75</v>
      </c>
      <c r="R27" s="58">
        <v>41479</v>
      </c>
      <c r="S27" s="58"/>
      <c r="T27" s="58">
        <v>47628</v>
      </c>
      <c r="U27" s="58">
        <f>(6*48636+13*42289)/19</f>
        <v>44293.315789473687</v>
      </c>
      <c r="V27" s="115">
        <v>56129</v>
      </c>
      <c r="W27" s="58"/>
      <c r="X27" s="58">
        <v>47748</v>
      </c>
      <c r="Y27" s="115">
        <v>49143</v>
      </c>
      <c r="Z27" s="58">
        <v>41269</v>
      </c>
      <c r="AA27" s="58">
        <v>44027</v>
      </c>
      <c r="AB27" s="115">
        <v>45683</v>
      </c>
      <c r="AC27" s="15"/>
      <c r="AD27" s="178">
        <f>AVERAGE(B27:AB27)</f>
        <v>46392.529972644064</v>
      </c>
      <c r="AF27" s="19">
        <f>COUNT(B27:AB27)</f>
        <v>22</v>
      </c>
    </row>
    <row r="28" spans="1:32" ht="12.75" customHeight="1" x14ac:dyDescent="0.2">
      <c r="A28" s="57"/>
      <c r="B28" s="15"/>
      <c r="C28" s="15"/>
      <c r="D28" s="15"/>
      <c r="E28" s="15"/>
      <c r="F28" s="15"/>
      <c r="G28" s="15"/>
      <c r="H28" s="15"/>
      <c r="I28" s="15"/>
      <c r="J28" s="15"/>
      <c r="K28" s="15"/>
      <c r="L28" s="98"/>
      <c r="M28" s="15"/>
      <c r="N28" s="15"/>
      <c r="O28" s="15"/>
      <c r="P28" s="15"/>
      <c r="Q28" s="15"/>
      <c r="R28" s="15"/>
      <c r="S28" s="15"/>
      <c r="T28" s="15"/>
      <c r="U28" s="15"/>
      <c r="V28" s="15"/>
      <c r="W28" s="15"/>
      <c r="X28" s="15"/>
      <c r="Y28" s="15"/>
      <c r="Z28" s="15"/>
      <c r="AA28" s="15"/>
      <c r="AB28" s="15"/>
      <c r="AC28" s="15"/>
      <c r="AD28" s="15"/>
    </row>
    <row r="29" spans="1:32" ht="12.75" customHeight="1" x14ac:dyDescent="0.25">
      <c r="A29" s="51" t="s">
        <v>175</v>
      </c>
      <c r="B29" s="15"/>
      <c r="C29" s="15"/>
      <c r="D29" s="15"/>
      <c r="E29" s="15"/>
      <c r="F29" s="15"/>
      <c r="G29" s="15"/>
      <c r="H29" s="15"/>
      <c r="I29" s="15"/>
      <c r="J29" s="15"/>
      <c r="K29" s="15"/>
      <c r="L29" s="98"/>
      <c r="M29" s="15"/>
      <c r="N29" s="15"/>
      <c r="O29" s="15"/>
      <c r="P29" s="15"/>
      <c r="Q29" s="15"/>
      <c r="R29" s="15"/>
      <c r="S29" s="15"/>
      <c r="T29" s="15"/>
      <c r="U29" s="98"/>
      <c r="V29" s="15"/>
      <c r="W29" s="15"/>
      <c r="X29" s="15"/>
      <c r="Y29" s="15"/>
      <c r="Z29" s="15"/>
      <c r="AA29" s="15"/>
      <c r="AB29" s="15"/>
      <c r="AC29" s="15"/>
      <c r="AD29" s="15"/>
    </row>
    <row r="30" spans="1:32" x14ac:dyDescent="0.2">
      <c r="A30" s="52" t="s">
        <v>69</v>
      </c>
      <c r="B30" s="35">
        <v>10.6</v>
      </c>
      <c r="C30" s="35">
        <v>16</v>
      </c>
      <c r="D30" s="35">
        <v>12</v>
      </c>
      <c r="E30" s="35">
        <v>10.63</v>
      </c>
      <c r="F30" s="35">
        <v>11</v>
      </c>
      <c r="G30" s="35">
        <v>12</v>
      </c>
      <c r="H30" s="35">
        <v>12</v>
      </c>
      <c r="I30" s="35">
        <v>13.7</v>
      </c>
      <c r="J30" s="35"/>
      <c r="K30" s="35">
        <v>12.74</v>
      </c>
      <c r="L30" s="35">
        <v>14.1</v>
      </c>
      <c r="M30" s="35">
        <v>12.57</v>
      </c>
      <c r="N30" s="114">
        <v>13.5</v>
      </c>
      <c r="O30" s="35"/>
      <c r="P30" s="35"/>
      <c r="Q30" s="35">
        <v>9.6449999999999996</v>
      </c>
      <c r="R30" s="35">
        <v>11</v>
      </c>
      <c r="S30" s="35">
        <v>10.3</v>
      </c>
      <c r="T30" s="35">
        <v>12</v>
      </c>
      <c r="U30" s="35">
        <v>11.3</v>
      </c>
      <c r="V30" s="114">
        <v>8.3000000000000007</v>
      </c>
      <c r="W30" s="35">
        <v>11</v>
      </c>
      <c r="X30" s="35">
        <v>13</v>
      </c>
      <c r="Y30" s="114">
        <v>12</v>
      </c>
      <c r="Z30" s="35">
        <v>13.11</v>
      </c>
      <c r="AA30" s="35">
        <v>12</v>
      </c>
      <c r="AB30" s="114"/>
      <c r="AC30" s="15"/>
      <c r="AD30" s="179">
        <f>AVERAGE(B30:AB30)</f>
        <v>11.934565217391308</v>
      </c>
      <c r="AF30" s="19">
        <f>COUNT(B30:AB30)</f>
        <v>23</v>
      </c>
    </row>
    <row r="31" spans="1:32" x14ac:dyDescent="0.2">
      <c r="A31" s="52" t="s">
        <v>70</v>
      </c>
      <c r="B31" s="35">
        <v>24.8</v>
      </c>
      <c r="C31" s="35">
        <v>31.3</v>
      </c>
      <c r="D31" s="35">
        <v>26</v>
      </c>
      <c r="E31" s="35">
        <v>26.33</v>
      </c>
      <c r="F31" s="35">
        <v>22</v>
      </c>
      <c r="G31" s="35">
        <v>23</v>
      </c>
      <c r="H31" s="35">
        <v>19.3</v>
      </c>
      <c r="I31" s="35">
        <v>26</v>
      </c>
      <c r="J31" s="35">
        <v>18</v>
      </c>
      <c r="K31" s="35">
        <v>24</v>
      </c>
      <c r="L31" s="35">
        <v>22</v>
      </c>
      <c r="M31" s="35">
        <v>38.6</v>
      </c>
      <c r="N31" s="114">
        <v>29</v>
      </c>
      <c r="O31" s="35"/>
      <c r="P31" s="35"/>
      <c r="Q31" s="35">
        <v>31.6</v>
      </c>
      <c r="R31" s="35">
        <v>27.2</v>
      </c>
      <c r="S31" s="35">
        <v>34.299999999999997</v>
      </c>
      <c r="T31" s="35">
        <v>21</v>
      </c>
      <c r="U31" s="35">
        <v>19.8</v>
      </c>
      <c r="V31" s="114">
        <v>26</v>
      </c>
      <c r="W31" s="35">
        <v>23.7</v>
      </c>
      <c r="X31" s="35">
        <v>25</v>
      </c>
      <c r="Y31" s="114">
        <v>21.9</v>
      </c>
      <c r="Z31" s="35">
        <v>20.440000000000001</v>
      </c>
      <c r="AA31" s="35">
        <v>15</v>
      </c>
      <c r="AB31" s="35">
        <v>19.7</v>
      </c>
      <c r="AC31" s="15"/>
      <c r="AD31" s="179">
        <f>AVERAGE(B31:AB31)</f>
        <v>24.638800000000007</v>
      </c>
      <c r="AF31" s="19">
        <f>COUNT(B31:AB31)</f>
        <v>25</v>
      </c>
    </row>
    <row r="32" spans="1:32" x14ac:dyDescent="0.2">
      <c r="A32" s="52" t="s">
        <v>71</v>
      </c>
      <c r="B32" s="35">
        <v>21</v>
      </c>
      <c r="C32" s="35">
        <v>22.7</v>
      </c>
      <c r="D32" s="35">
        <v>16</v>
      </c>
      <c r="E32" s="35">
        <v>15.26</v>
      </c>
      <c r="F32" s="35">
        <v>12</v>
      </c>
      <c r="G32" s="35">
        <v>17</v>
      </c>
      <c r="H32" s="35">
        <v>12.6</v>
      </c>
      <c r="I32" s="35">
        <v>20</v>
      </c>
      <c r="J32" s="35">
        <v>18</v>
      </c>
      <c r="K32" s="35">
        <v>20</v>
      </c>
      <c r="L32" s="35">
        <v>17</v>
      </c>
      <c r="M32" s="35">
        <v>26.7</v>
      </c>
      <c r="N32" s="114">
        <v>23</v>
      </c>
      <c r="O32" s="35"/>
      <c r="P32" s="35"/>
      <c r="Q32" s="35">
        <v>21.9</v>
      </c>
      <c r="R32" s="35">
        <v>20.2</v>
      </c>
      <c r="S32" s="35">
        <v>16.3</v>
      </c>
      <c r="T32" s="35">
        <v>21</v>
      </c>
      <c r="U32" s="35">
        <v>14</v>
      </c>
      <c r="V32" s="114">
        <v>18</v>
      </c>
      <c r="W32" s="35">
        <v>12.9</v>
      </c>
      <c r="X32" s="35">
        <v>15</v>
      </c>
      <c r="Y32" s="114">
        <v>16.7</v>
      </c>
      <c r="Z32" s="35">
        <v>10.58</v>
      </c>
      <c r="AA32" s="35">
        <v>11</v>
      </c>
      <c r="AB32" s="35">
        <v>13.9</v>
      </c>
      <c r="AC32" s="15"/>
      <c r="AD32" s="179">
        <f>AVERAGE(B32:AB32)</f>
        <v>17.309599999999996</v>
      </c>
      <c r="AF32" s="19">
        <f>COUNT(B32:AB32)</f>
        <v>25</v>
      </c>
    </row>
    <row r="33" spans="1:32" ht="12.75" customHeight="1" x14ac:dyDescent="0.2">
      <c r="A33" s="52" t="s">
        <v>150</v>
      </c>
      <c r="B33" s="126" t="s">
        <v>300</v>
      </c>
      <c r="C33" s="60" t="s">
        <v>301</v>
      </c>
      <c r="D33" s="60" t="s">
        <v>273</v>
      </c>
      <c r="E33" s="60" t="s">
        <v>274</v>
      </c>
      <c r="F33" s="60" t="s">
        <v>302</v>
      </c>
      <c r="G33" s="60" t="s">
        <v>306</v>
      </c>
      <c r="H33" s="60" t="s">
        <v>307</v>
      </c>
      <c r="I33" s="60" t="s">
        <v>308</v>
      </c>
      <c r="J33" s="60"/>
      <c r="K33" s="60" t="s">
        <v>290</v>
      </c>
      <c r="L33" s="35" t="s">
        <v>312</v>
      </c>
      <c r="M33" s="60" t="s">
        <v>313</v>
      </c>
      <c r="N33" s="116" t="s">
        <v>314</v>
      </c>
      <c r="O33" s="197">
        <v>18.862256311920742</v>
      </c>
      <c r="P33" s="60"/>
      <c r="Q33" s="122" t="s">
        <v>313</v>
      </c>
      <c r="R33" s="60" t="s">
        <v>317</v>
      </c>
      <c r="S33" s="60" t="s">
        <v>318</v>
      </c>
      <c r="T33" s="60" t="s">
        <v>266</v>
      </c>
      <c r="U33" s="103" t="s">
        <v>320</v>
      </c>
      <c r="V33" s="116" t="s">
        <v>226</v>
      </c>
      <c r="W33" s="60" t="s">
        <v>321</v>
      </c>
      <c r="X33" s="60" t="s">
        <v>322</v>
      </c>
      <c r="Y33" s="116" t="s">
        <v>320</v>
      </c>
      <c r="Z33" s="60" t="s">
        <v>326</v>
      </c>
      <c r="AA33" s="60" t="s">
        <v>327</v>
      </c>
      <c r="AB33" s="60" t="s">
        <v>328</v>
      </c>
      <c r="AC33" s="15"/>
      <c r="AD33" s="193">
        <v>0.66736111111111107</v>
      </c>
      <c r="AF33" s="19">
        <v>23</v>
      </c>
    </row>
    <row r="34" spans="1:32" ht="12.75" customHeight="1" x14ac:dyDescent="0.2">
      <c r="A34" s="57"/>
      <c r="B34" s="15"/>
      <c r="C34" s="15"/>
      <c r="D34" s="15"/>
      <c r="E34" s="15"/>
      <c r="F34" s="15"/>
      <c r="G34" s="15"/>
      <c r="H34" s="15"/>
      <c r="I34" s="15"/>
      <c r="J34" s="15"/>
      <c r="K34" s="15"/>
      <c r="L34" s="98"/>
      <c r="M34" s="15"/>
      <c r="N34" s="15"/>
      <c r="O34" s="15"/>
      <c r="P34" s="15"/>
      <c r="Q34" s="15"/>
      <c r="R34" s="15"/>
      <c r="S34" s="15"/>
      <c r="T34" s="15"/>
      <c r="U34" s="15"/>
      <c r="V34" s="15"/>
      <c r="W34" s="15"/>
      <c r="X34" s="15"/>
      <c r="Y34" s="15"/>
      <c r="Z34" s="15"/>
      <c r="AA34" s="15"/>
      <c r="AB34" s="15"/>
      <c r="AC34" s="15"/>
      <c r="AD34" s="15"/>
    </row>
    <row r="35" spans="1:32" ht="14.25" customHeight="1" x14ac:dyDescent="0.25">
      <c r="A35" s="51" t="s">
        <v>176</v>
      </c>
      <c r="B35" s="15"/>
      <c r="C35" s="15"/>
      <c r="D35" s="15"/>
      <c r="E35" s="15"/>
      <c r="F35" s="15"/>
      <c r="G35" s="15"/>
      <c r="H35" s="15"/>
      <c r="I35" s="15"/>
      <c r="J35" s="15"/>
      <c r="K35" s="15"/>
      <c r="L35" s="98"/>
      <c r="M35" s="15"/>
      <c r="N35" s="15"/>
      <c r="O35" s="15"/>
      <c r="P35" s="15"/>
      <c r="Q35" s="15"/>
      <c r="R35" s="15"/>
      <c r="S35" s="15"/>
      <c r="T35" s="15"/>
      <c r="U35" s="15"/>
      <c r="V35" s="15"/>
      <c r="W35" s="15"/>
      <c r="X35" s="15"/>
      <c r="Y35" s="15"/>
      <c r="Z35" s="15"/>
      <c r="AA35" s="15"/>
      <c r="AB35" s="15"/>
      <c r="AC35" s="15"/>
      <c r="AD35" s="15"/>
    </row>
    <row r="36" spans="1:32" ht="12.75" customHeight="1" x14ac:dyDescent="0.2">
      <c r="A36" s="52" t="s">
        <v>72</v>
      </c>
      <c r="B36" s="61">
        <v>406</v>
      </c>
      <c r="C36" s="61">
        <v>441</v>
      </c>
      <c r="D36" s="61">
        <v>462</v>
      </c>
      <c r="E36" s="61">
        <v>508</v>
      </c>
      <c r="F36" s="61">
        <v>327</v>
      </c>
      <c r="G36" s="61">
        <v>310</v>
      </c>
      <c r="H36" s="61">
        <v>189</v>
      </c>
      <c r="I36" s="61">
        <v>338</v>
      </c>
      <c r="J36" s="61">
        <v>174</v>
      </c>
      <c r="K36" s="61">
        <v>405</v>
      </c>
      <c r="L36" s="61">
        <v>281</v>
      </c>
      <c r="M36" s="61">
        <v>864</v>
      </c>
      <c r="N36" s="61">
        <v>338</v>
      </c>
      <c r="O36" s="61">
        <f>SUM(O37:O42)</f>
        <v>343</v>
      </c>
      <c r="P36" s="61">
        <v>265</v>
      </c>
      <c r="Q36" s="61">
        <f>SUM(Q37:Q42)</f>
        <v>447</v>
      </c>
      <c r="R36" s="61">
        <v>413</v>
      </c>
      <c r="S36" s="61">
        <v>71</v>
      </c>
      <c r="T36" s="61">
        <v>497</v>
      </c>
      <c r="U36" s="61">
        <v>333</v>
      </c>
      <c r="V36" s="61">
        <v>451</v>
      </c>
      <c r="W36" s="61">
        <v>218</v>
      </c>
      <c r="X36" s="61">
        <v>279</v>
      </c>
      <c r="Y36" s="61">
        <v>408</v>
      </c>
      <c r="Z36" s="61">
        <v>87</v>
      </c>
      <c r="AA36" s="61">
        <v>296</v>
      </c>
      <c r="AB36" s="61">
        <v>221</v>
      </c>
      <c r="AC36" s="15"/>
      <c r="AD36" s="47">
        <f t="shared" ref="AD36:AD43" si="2">AVERAGE(B36:AB36)</f>
        <v>347.11111111111109</v>
      </c>
      <c r="AF36" s="19">
        <f t="shared" ref="AF36:AF43" si="3">COUNT(B36:AB36)</f>
        <v>27</v>
      </c>
    </row>
    <row r="37" spans="1:32" ht="12.75" customHeight="1" x14ac:dyDescent="0.2">
      <c r="A37" s="52" t="s">
        <v>73</v>
      </c>
      <c r="B37" s="36">
        <v>29</v>
      </c>
      <c r="C37" s="36">
        <v>93</v>
      </c>
      <c r="D37" s="36">
        <v>33</v>
      </c>
      <c r="E37" s="36">
        <v>30</v>
      </c>
      <c r="F37" s="36">
        <v>26</v>
      </c>
      <c r="G37" s="36">
        <v>47</v>
      </c>
      <c r="H37" s="36">
        <v>40</v>
      </c>
      <c r="I37" s="36">
        <v>37</v>
      </c>
      <c r="J37" s="36">
        <v>46</v>
      </c>
      <c r="K37" s="36">
        <v>35</v>
      </c>
      <c r="L37" s="36">
        <v>77</v>
      </c>
      <c r="M37" s="36">
        <v>56</v>
      </c>
      <c r="N37" s="61">
        <v>6.2</v>
      </c>
      <c r="O37" s="36">
        <v>98</v>
      </c>
      <c r="P37" s="36">
        <v>42</v>
      </c>
      <c r="Q37" s="36">
        <v>48</v>
      </c>
      <c r="R37" s="36">
        <v>24</v>
      </c>
      <c r="S37" s="36">
        <v>7</v>
      </c>
      <c r="T37" s="36">
        <v>97</v>
      </c>
      <c r="U37" s="36">
        <v>15</v>
      </c>
      <c r="V37" s="36">
        <v>22</v>
      </c>
      <c r="W37" s="36">
        <v>46</v>
      </c>
      <c r="X37" s="36">
        <v>40</v>
      </c>
      <c r="Y37" s="61">
        <v>36</v>
      </c>
      <c r="Z37" s="36">
        <v>13</v>
      </c>
      <c r="AA37" s="36">
        <v>50</v>
      </c>
      <c r="AB37" s="36">
        <v>34</v>
      </c>
      <c r="AC37" s="15"/>
      <c r="AD37" s="47">
        <f t="shared" si="2"/>
        <v>41.748148148148147</v>
      </c>
      <c r="AF37" s="19">
        <f t="shared" si="3"/>
        <v>27</v>
      </c>
    </row>
    <row r="38" spans="1:32" ht="12" customHeight="1" x14ac:dyDescent="0.2">
      <c r="A38" s="52" t="s">
        <v>74</v>
      </c>
      <c r="B38" s="36">
        <v>181</v>
      </c>
      <c r="C38" s="36">
        <v>144</v>
      </c>
      <c r="D38" s="36">
        <v>161</v>
      </c>
      <c r="E38" s="36">
        <v>230</v>
      </c>
      <c r="F38" s="36">
        <v>90</v>
      </c>
      <c r="G38" s="36">
        <v>124</v>
      </c>
      <c r="H38" s="36">
        <v>55</v>
      </c>
      <c r="I38" s="36">
        <v>136</v>
      </c>
      <c r="J38" s="36">
        <v>49</v>
      </c>
      <c r="K38" s="36">
        <v>179</v>
      </c>
      <c r="L38" s="36">
        <v>50</v>
      </c>
      <c r="M38" s="36">
        <v>293</v>
      </c>
      <c r="N38" s="61">
        <v>45.9</v>
      </c>
      <c r="O38" s="36">
        <v>132</v>
      </c>
      <c r="P38" s="36">
        <v>73</v>
      </c>
      <c r="Q38" s="36">
        <v>152</v>
      </c>
      <c r="R38" s="36">
        <v>170</v>
      </c>
      <c r="S38" s="36">
        <v>6</v>
      </c>
      <c r="T38" s="36">
        <v>181</v>
      </c>
      <c r="U38" s="36">
        <v>99</v>
      </c>
      <c r="V38" s="36">
        <v>233</v>
      </c>
      <c r="W38" s="36">
        <v>38</v>
      </c>
      <c r="X38" s="36">
        <v>94</v>
      </c>
      <c r="Y38" s="61">
        <v>138</v>
      </c>
      <c r="Z38" s="36">
        <v>24</v>
      </c>
      <c r="AA38" s="36">
        <v>63</v>
      </c>
      <c r="AB38" s="36">
        <v>88</v>
      </c>
      <c r="AC38" s="15"/>
      <c r="AD38" s="47">
        <f t="shared" si="2"/>
        <v>119.58888888888889</v>
      </c>
      <c r="AF38" s="19">
        <f t="shared" si="3"/>
        <v>27</v>
      </c>
    </row>
    <row r="39" spans="1:32" s="37" customFormat="1" ht="14.25" customHeight="1" x14ac:dyDescent="0.2">
      <c r="A39" s="52" t="s">
        <v>75</v>
      </c>
      <c r="B39" s="36">
        <v>16</v>
      </c>
      <c r="C39" s="36">
        <v>20</v>
      </c>
      <c r="D39" s="36">
        <v>10</v>
      </c>
      <c r="E39" s="36">
        <v>10</v>
      </c>
      <c r="F39" s="36">
        <v>16</v>
      </c>
      <c r="G39" s="36">
        <v>7</v>
      </c>
      <c r="H39" s="36">
        <v>9</v>
      </c>
      <c r="I39" s="36">
        <v>26</v>
      </c>
      <c r="J39" s="36">
        <v>9</v>
      </c>
      <c r="K39" s="36">
        <v>14</v>
      </c>
      <c r="L39" s="36">
        <v>36</v>
      </c>
      <c r="M39" s="36">
        <v>67</v>
      </c>
      <c r="N39" s="61">
        <v>10.1</v>
      </c>
      <c r="O39" s="36">
        <v>2</v>
      </c>
      <c r="P39" s="36">
        <v>59</v>
      </c>
      <c r="Q39" s="36">
        <v>3</v>
      </c>
      <c r="R39" s="36">
        <v>15</v>
      </c>
      <c r="S39" s="36">
        <v>8</v>
      </c>
      <c r="T39" s="36">
        <v>49</v>
      </c>
      <c r="U39" s="36">
        <v>5</v>
      </c>
      <c r="V39" s="36">
        <v>55</v>
      </c>
      <c r="W39" s="36">
        <v>18</v>
      </c>
      <c r="X39" s="36">
        <v>26</v>
      </c>
      <c r="Y39" s="61">
        <v>61</v>
      </c>
      <c r="Z39" s="36">
        <v>3</v>
      </c>
      <c r="AA39" s="36">
        <v>0</v>
      </c>
      <c r="AB39" s="36">
        <v>10</v>
      </c>
      <c r="AC39" s="15"/>
      <c r="AD39" s="180">
        <f t="shared" si="2"/>
        <v>20.892592592592592</v>
      </c>
      <c r="AF39" s="37">
        <f t="shared" si="3"/>
        <v>27</v>
      </c>
    </row>
    <row r="40" spans="1:32" s="37" customFormat="1" ht="13.5" customHeight="1" x14ac:dyDescent="0.2">
      <c r="A40" s="52" t="s">
        <v>76</v>
      </c>
      <c r="B40" s="36">
        <v>57</v>
      </c>
      <c r="C40" s="36">
        <v>106</v>
      </c>
      <c r="D40" s="36">
        <v>32</v>
      </c>
      <c r="E40" s="36">
        <v>104</v>
      </c>
      <c r="F40" s="36">
        <v>104</v>
      </c>
      <c r="G40" s="36">
        <v>89</v>
      </c>
      <c r="H40" s="36">
        <v>35</v>
      </c>
      <c r="I40" s="36">
        <v>88</v>
      </c>
      <c r="J40" s="36">
        <v>17</v>
      </c>
      <c r="K40" s="36">
        <v>56</v>
      </c>
      <c r="L40" s="36">
        <v>30</v>
      </c>
      <c r="M40" s="36">
        <v>81</v>
      </c>
      <c r="N40" s="61">
        <v>21.3</v>
      </c>
      <c r="O40" s="36">
        <v>54</v>
      </c>
      <c r="P40" s="36">
        <v>26</v>
      </c>
      <c r="Q40" s="36">
        <v>99</v>
      </c>
      <c r="R40" s="36">
        <v>91</v>
      </c>
      <c r="S40" s="36">
        <v>38</v>
      </c>
      <c r="T40" s="36">
        <v>79</v>
      </c>
      <c r="U40" s="36">
        <v>44</v>
      </c>
      <c r="V40" s="36">
        <v>36</v>
      </c>
      <c r="W40" s="36">
        <v>48</v>
      </c>
      <c r="X40" s="36">
        <v>50</v>
      </c>
      <c r="Y40" s="61">
        <v>68</v>
      </c>
      <c r="Z40" s="36">
        <v>21</v>
      </c>
      <c r="AA40" s="36">
        <v>46</v>
      </c>
      <c r="AB40" s="36">
        <v>41</v>
      </c>
      <c r="AC40" s="15"/>
      <c r="AD40" s="180">
        <f t="shared" si="2"/>
        <v>57.825925925925922</v>
      </c>
      <c r="AF40" s="37">
        <f t="shared" si="3"/>
        <v>27</v>
      </c>
    </row>
    <row r="41" spans="1:32" s="37" customFormat="1" ht="12.75" customHeight="1" x14ac:dyDescent="0.2">
      <c r="A41" s="52" t="s">
        <v>77</v>
      </c>
      <c r="B41" s="36">
        <v>28</v>
      </c>
      <c r="C41" s="36">
        <v>13</v>
      </c>
      <c r="D41" s="36">
        <v>15</v>
      </c>
      <c r="E41" s="36">
        <v>30</v>
      </c>
      <c r="F41" s="36">
        <v>15</v>
      </c>
      <c r="G41" s="36">
        <v>27</v>
      </c>
      <c r="H41" s="36">
        <v>16</v>
      </c>
      <c r="I41" s="36">
        <v>28</v>
      </c>
      <c r="J41" s="36">
        <v>11</v>
      </c>
      <c r="K41" s="36">
        <v>40</v>
      </c>
      <c r="L41" s="36">
        <v>8</v>
      </c>
      <c r="M41" s="36">
        <v>37</v>
      </c>
      <c r="N41" s="61">
        <v>4.7</v>
      </c>
      <c r="O41" s="36">
        <v>30</v>
      </c>
      <c r="P41" s="36">
        <v>9</v>
      </c>
      <c r="Q41" s="36">
        <v>31</v>
      </c>
      <c r="R41" s="36">
        <v>29</v>
      </c>
      <c r="S41" s="36">
        <v>1</v>
      </c>
      <c r="T41" s="36">
        <v>23</v>
      </c>
      <c r="U41" s="36">
        <v>12</v>
      </c>
      <c r="V41" s="36">
        <v>39</v>
      </c>
      <c r="W41" s="36">
        <v>18</v>
      </c>
      <c r="X41" s="36">
        <v>24</v>
      </c>
      <c r="Y41" s="61">
        <v>33</v>
      </c>
      <c r="Z41" s="36">
        <v>5</v>
      </c>
      <c r="AA41" s="36">
        <v>4</v>
      </c>
      <c r="AB41" s="36">
        <v>4</v>
      </c>
      <c r="AC41" s="15"/>
      <c r="AD41" s="180">
        <f t="shared" si="2"/>
        <v>19.803703703703704</v>
      </c>
      <c r="AF41" s="37">
        <f t="shared" si="3"/>
        <v>27</v>
      </c>
    </row>
    <row r="42" spans="1:32" s="37" customFormat="1" ht="12.75" customHeight="1" x14ac:dyDescent="0.2">
      <c r="A42" s="52" t="s">
        <v>78</v>
      </c>
      <c r="B42" s="36">
        <v>95</v>
      </c>
      <c r="C42" s="36">
        <v>65</v>
      </c>
      <c r="D42" s="36">
        <v>43</v>
      </c>
      <c r="E42" s="36">
        <v>104</v>
      </c>
      <c r="F42" s="36">
        <v>76</v>
      </c>
      <c r="G42" s="36">
        <v>16</v>
      </c>
      <c r="H42" s="36">
        <v>34</v>
      </c>
      <c r="I42" s="36">
        <v>73</v>
      </c>
      <c r="J42" s="36">
        <v>42</v>
      </c>
      <c r="K42" s="36">
        <v>72</v>
      </c>
      <c r="L42" s="36">
        <v>80</v>
      </c>
      <c r="M42" s="36">
        <v>73</v>
      </c>
      <c r="N42" s="61">
        <v>11.8</v>
      </c>
      <c r="O42" s="36">
        <v>27</v>
      </c>
      <c r="P42" s="36">
        <v>56</v>
      </c>
      <c r="Q42" s="36">
        <v>114</v>
      </c>
      <c r="R42" s="36">
        <v>84</v>
      </c>
      <c r="S42" s="36">
        <v>11</v>
      </c>
      <c r="T42" s="36">
        <v>68</v>
      </c>
      <c r="U42" s="36">
        <v>38</v>
      </c>
      <c r="V42" s="36">
        <v>66</v>
      </c>
      <c r="W42" s="36">
        <v>50</v>
      </c>
      <c r="X42" s="36">
        <v>45</v>
      </c>
      <c r="Y42" s="61">
        <v>72</v>
      </c>
      <c r="Z42" s="36">
        <v>18</v>
      </c>
      <c r="AA42" s="36">
        <v>46</v>
      </c>
      <c r="AB42" s="36">
        <v>44</v>
      </c>
      <c r="AC42" s="15"/>
      <c r="AD42" s="180">
        <f t="shared" si="2"/>
        <v>56.437037037037037</v>
      </c>
      <c r="AF42" s="37">
        <f t="shared" si="3"/>
        <v>27</v>
      </c>
    </row>
    <row r="43" spans="1:32" s="62" customFormat="1" ht="13.5" customHeight="1" x14ac:dyDescent="0.2">
      <c r="A43" s="53" t="s">
        <v>79</v>
      </c>
      <c r="B43" s="23">
        <v>102</v>
      </c>
      <c r="C43" s="23">
        <v>42</v>
      </c>
      <c r="D43" s="23">
        <v>156</v>
      </c>
      <c r="E43" s="23">
        <v>21</v>
      </c>
      <c r="F43" s="23">
        <v>28</v>
      </c>
      <c r="G43" s="23">
        <v>144</v>
      </c>
      <c r="H43" s="23">
        <v>43</v>
      </c>
      <c r="I43" s="23">
        <v>8</v>
      </c>
      <c r="J43" s="23">
        <v>5</v>
      </c>
      <c r="K43" s="23">
        <v>96</v>
      </c>
      <c r="L43" s="23">
        <v>167</v>
      </c>
      <c r="M43" s="23">
        <v>303</v>
      </c>
      <c r="N43" s="124">
        <v>106</v>
      </c>
      <c r="O43" s="23">
        <f>15+115+1+41+1+2</f>
        <v>175</v>
      </c>
      <c r="P43" s="23">
        <v>93</v>
      </c>
      <c r="Q43" s="23">
        <f>208-111</f>
        <v>97</v>
      </c>
      <c r="R43" s="23">
        <v>24</v>
      </c>
      <c r="S43" s="23">
        <v>177</v>
      </c>
      <c r="T43" s="23">
        <v>29</v>
      </c>
      <c r="U43" s="23">
        <v>83</v>
      </c>
      <c r="V43" s="23">
        <v>92</v>
      </c>
      <c r="W43" s="23">
        <v>45</v>
      </c>
      <c r="X43" s="23">
        <v>1</v>
      </c>
      <c r="Y43" s="124">
        <v>17</v>
      </c>
      <c r="Z43" s="23">
        <v>6</v>
      </c>
      <c r="AA43" s="23">
        <v>23</v>
      </c>
      <c r="AB43" s="23">
        <v>40</v>
      </c>
      <c r="AC43" s="15"/>
      <c r="AD43" s="181">
        <f t="shared" si="2"/>
        <v>78.629629629629633</v>
      </c>
      <c r="AF43" s="62">
        <f t="shared" si="3"/>
        <v>27</v>
      </c>
    </row>
    <row r="44" spans="1:32" s="64" customFormat="1" x14ac:dyDescent="0.2">
      <c r="A44" s="52" t="s">
        <v>80</v>
      </c>
      <c r="B44" s="63"/>
      <c r="C44" s="63"/>
      <c r="D44" s="63"/>
      <c r="E44" s="63"/>
      <c r="F44" s="63"/>
      <c r="G44" s="63"/>
      <c r="H44" s="63"/>
      <c r="I44" s="63"/>
      <c r="J44" s="63"/>
      <c r="K44" s="63"/>
      <c r="L44" s="104"/>
      <c r="M44" s="63"/>
      <c r="N44" s="63"/>
      <c r="O44" s="63"/>
      <c r="P44" s="63"/>
      <c r="Q44" s="63"/>
      <c r="R44" s="63"/>
      <c r="S44" s="63"/>
      <c r="T44" s="63"/>
      <c r="U44" s="63"/>
      <c r="V44" s="63"/>
      <c r="W44" s="63"/>
      <c r="X44" s="63"/>
      <c r="Y44" s="63"/>
      <c r="Z44" s="63"/>
      <c r="AA44" s="63"/>
      <c r="AB44" s="63"/>
      <c r="AC44" s="15"/>
      <c r="AD44" s="63"/>
    </row>
    <row r="45" spans="1:32" x14ac:dyDescent="0.2">
      <c r="A45" s="52" t="s">
        <v>81</v>
      </c>
      <c r="B45" s="17">
        <f xml:space="preserve"> 15/29</f>
        <v>0.51724137931034486</v>
      </c>
      <c r="C45" s="17">
        <v>0.56499999999999995</v>
      </c>
      <c r="D45" s="17">
        <v>0.43</v>
      </c>
      <c r="E45" s="17">
        <v>0.4</v>
      </c>
      <c r="F45" s="17">
        <v>0.56999999999999995</v>
      </c>
      <c r="G45" s="17">
        <v>0.59</v>
      </c>
      <c r="H45" s="123">
        <v>0.68</v>
      </c>
      <c r="I45" s="17">
        <v>0.56999999999999995</v>
      </c>
      <c r="J45" s="17">
        <v>0.48</v>
      </c>
      <c r="K45" s="17">
        <v>0.4</v>
      </c>
      <c r="L45" s="17">
        <v>0.61038961038961037</v>
      </c>
      <c r="M45" s="17">
        <v>0.46</v>
      </c>
      <c r="N45" s="26">
        <v>0.47599999999999998</v>
      </c>
      <c r="O45" s="17">
        <f>25/O37</f>
        <v>0.25510204081632654</v>
      </c>
      <c r="P45" s="17">
        <f>23/42</f>
        <v>0.54761904761904767</v>
      </c>
      <c r="Q45" s="17">
        <f>20/Q37</f>
        <v>0.41666666666666669</v>
      </c>
      <c r="R45" s="17">
        <v>0.46</v>
      </c>
      <c r="S45" s="17">
        <v>0.42899999999999999</v>
      </c>
      <c r="T45" s="17">
        <v>0.54</v>
      </c>
      <c r="U45" s="17">
        <f>186/333</f>
        <v>0.55855855855855852</v>
      </c>
      <c r="V45" s="17">
        <v>0.32</v>
      </c>
      <c r="W45" s="17">
        <v>0.42299999999999999</v>
      </c>
      <c r="X45" s="17">
        <v>0.6</v>
      </c>
      <c r="Y45" s="26">
        <v>0.61099999999999999</v>
      </c>
      <c r="Z45" s="17">
        <v>0.38</v>
      </c>
      <c r="AA45" s="17">
        <v>0.6</v>
      </c>
      <c r="AB45" s="26">
        <v>0.65</v>
      </c>
      <c r="AC45" s="15"/>
      <c r="AD45" s="175">
        <f>AVERAGE(B45:AB45)</f>
        <v>0.50146582605039103</v>
      </c>
      <c r="AF45" s="37">
        <f>COUNT(B45:AB45)</f>
        <v>27</v>
      </c>
    </row>
    <row r="46" spans="1:32" x14ac:dyDescent="0.2">
      <c r="A46" s="52" t="s">
        <v>82</v>
      </c>
      <c r="B46" s="17">
        <v>0.48</v>
      </c>
      <c r="C46" s="17">
        <v>0.43</v>
      </c>
      <c r="D46" s="17">
        <v>0.56999999999999995</v>
      </c>
      <c r="E46" s="17">
        <v>0.6</v>
      </c>
      <c r="F46" s="17">
        <v>0.43</v>
      </c>
      <c r="G46" s="17">
        <v>0.41</v>
      </c>
      <c r="H46" s="123">
        <v>0.32</v>
      </c>
      <c r="I46" s="17">
        <v>0.43</v>
      </c>
      <c r="J46" s="17">
        <v>0.52</v>
      </c>
      <c r="K46" s="17">
        <v>0.6</v>
      </c>
      <c r="L46" s="17">
        <v>0.38961038961038963</v>
      </c>
      <c r="M46" s="17">
        <v>0.54</v>
      </c>
      <c r="N46" s="26">
        <v>0.52300000000000002</v>
      </c>
      <c r="O46" s="17">
        <f>73/O37</f>
        <v>0.74489795918367352</v>
      </c>
      <c r="P46" s="17">
        <f>19/42</f>
        <v>0.45238095238095238</v>
      </c>
      <c r="Q46" s="123">
        <f>28/Q37</f>
        <v>0.58333333333333337</v>
      </c>
      <c r="R46" s="17">
        <v>0.54</v>
      </c>
      <c r="S46" s="17">
        <v>0.57099999999999995</v>
      </c>
      <c r="T46" s="17">
        <v>0.46</v>
      </c>
      <c r="U46" s="17">
        <f>147/333</f>
        <v>0.44144144144144143</v>
      </c>
      <c r="V46" s="17">
        <v>0.68</v>
      </c>
      <c r="W46" s="17">
        <v>0.57699999999999996</v>
      </c>
      <c r="X46" s="17">
        <v>0.4</v>
      </c>
      <c r="Y46" s="26">
        <v>0.38900000000000001</v>
      </c>
      <c r="Z46" s="17">
        <v>0.62</v>
      </c>
      <c r="AA46" s="17">
        <v>0.4</v>
      </c>
      <c r="AB46" s="26">
        <v>0.35</v>
      </c>
      <c r="AC46" s="15"/>
      <c r="AD46" s="175">
        <f>AVERAGE(B46:AB46)</f>
        <v>0.49820978059073295</v>
      </c>
      <c r="AF46" s="37">
        <f>COUNT(B46:AB46)</f>
        <v>27</v>
      </c>
    </row>
    <row r="47" spans="1:32" x14ac:dyDescent="0.2">
      <c r="A47" s="52" t="s">
        <v>83</v>
      </c>
      <c r="B47" s="17">
        <f xml:space="preserve"> 7/29</f>
        <v>0.2413793103448276</v>
      </c>
      <c r="C47" s="17">
        <v>0.23</v>
      </c>
      <c r="D47" s="17">
        <v>9.1999999999999998E-2</v>
      </c>
      <c r="E47" s="17">
        <v>0.13159999999999999</v>
      </c>
      <c r="F47" s="17">
        <v>7.0000000000000007E-2</v>
      </c>
      <c r="G47" s="17">
        <v>0.04</v>
      </c>
      <c r="H47" s="123">
        <v>0.05</v>
      </c>
      <c r="I47" s="17">
        <v>0.11</v>
      </c>
      <c r="J47" s="17">
        <v>0.15</v>
      </c>
      <c r="K47" s="17">
        <v>0.2286</v>
      </c>
      <c r="L47" s="17">
        <v>0.12987012987012986</v>
      </c>
      <c r="M47" s="17">
        <v>0.16</v>
      </c>
      <c r="N47" s="26">
        <v>0</v>
      </c>
      <c r="O47" s="17">
        <f>1/(98-1)</f>
        <v>1.0309278350515464E-2</v>
      </c>
      <c r="P47" s="17">
        <f>5/42</f>
        <v>0.11904761904761904</v>
      </c>
      <c r="Q47" s="17">
        <f>(4+1+1)/Q37</f>
        <v>0.125</v>
      </c>
      <c r="R47" s="17">
        <v>0.04</v>
      </c>
      <c r="S47" s="17"/>
      <c r="T47" s="17">
        <v>5.1999999999999998E-2</v>
      </c>
      <c r="U47" s="17">
        <f>10/333</f>
        <v>3.003003003003003E-2</v>
      </c>
      <c r="V47" s="17">
        <v>0.23</v>
      </c>
      <c r="W47" s="17">
        <v>4.954954954954955E-2</v>
      </c>
      <c r="X47" s="17">
        <v>0.1</v>
      </c>
      <c r="Y47" s="26">
        <v>0.111</v>
      </c>
      <c r="Z47" s="17">
        <v>0.08</v>
      </c>
      <c r="AA47" s="17">
        <v>0.97</v>
      </c>
      <c r="AB47" s="26">
        <v>0.06</v>
      </c>
      <c r="AC47" s="15"/>
      <c r="AD47" s="175">
        <f>AVERAGE(B47:AB47)</f>
        <v>0.13886099681510278</v>
      </c>
      <c r="AF47" s="37">
        <f>COUNT(B47:AB47)</f>
        <v>26</v>
      </c>
    </row>
    <row r="48" spans="1:32" ht="25.5" x14ac:dyDescent="0.2">
      <c r="A48" s="174" t="s">
        <v>84</v>
      </c>
      <c r="B48" s="126" t="s">
        <v>303</v>
      </c>
      <c r="C48" s="116" t="s">
        <v>248</v>
      </c>
      <c r="D48" s="65" t="s">
        <v>304</v>
      </c>
      <c r="E48" s="65" t="s">
        <v>305</v>
      </c>
      <c r="F48" s="65" t="s">
        <v>253</v>
      </c>
      <c r="G48" s="65" t="s">
        <v>221</v>
      </c>
      <c r="H48" s="65" t="s">
        <v>309</v>
      </c>
      <c r="I48" s="65" t="s">
        <v>310</v>
      </c>
      <c r="J48" s="65" t="s">
        <v>248</v>
      </c>
      <c r="K48" s="65" t="s">
        <v>311</v>
      </c>
      <c r="L48" s="103" t="s">
        <v>275</v>
      </c>
      <c r="M48" s="65" t="s">
        <v>315</v>
      </c>
      <c r="N48" s="26" t="s">
        <v>316</v>
      </c>
      <c r="O48" s="198">
        <f>O36/O10</f>
        <v>1.3943089430894309</v>
      </c>
      <c r="P48" s="65" t="s">
        <v>253</v>
      </c>
      <c r="Q48" s="148" t="s">
        <v>279</v>
      </c>
      <c r="R48" s="65" t="s">
        <v>319</v>
      </c>
      <c r="S48" s="103" t="s">
        <v>276</v>
      </c>
      <c r="T48" s="65" t="s">
        <v>277</v>
      </c>
      <c r="U48" s="103" t="s">
        <v>323</v>
      </c>
      <c r="V48" s="65" t="s">
        <v>324</v>
      </c>
      <c r="W48" s="103" t="s">
        <v>278</v>
      </c>
      <c r="X48" s="65" t="s">
        <v>269</v>
      </c>
      <c r="Y48" s="128" t="s">
        <v>325</v>
      </c>
      <c r="Z48" s="65" t="s">
        <v>329</v>
      </c>
      <c r="AA48" s="65" t="s">
        <v>330</v>
      </c>
      <c r="AB48" s="65" t="s">
        <v>236</v>
      </c>
      <c r="AC48" s="15"/>
      <c r="AD48" s="194" t="s">
        <v>279</v>
      </c>
      <c r="AF48" s="37">
        <v>25</v>
      </c>
    </row>
    <row r="49" spans="1:30" ht="12.75" customHeight="1" x14ac:dyDescent="0.2">
      <c r="A49" s="66"/>
      <c r="B49" s="66"/>
      <c r="C49" s="66"/>
      <c r="D49" s="66"/>
      <c r="E49" s="66"/>
      <c r="F49" s="66"/>
      <c r="G49" s="66"/>
      <c r="H49" s="66"/>
      <c r="I49" s="66"/>
      <c r="J49" s="66"/>
      <c r="K49" s="66"/>
      <c r="L49" s="105"/>
      <c r="M49" s="66"/>
      <c r="N49" s="66"/>
      <c r="O49" s="66"/>
      <c r="P49" s="66"/>
      <c r="Q49" s="66"/>
      <c r="R49" s="66"/>
      <c r="S49" s="66"/>
      <c r="T49" s="66"/>
      <c r="U49" s="66"/>
      <c r="V49" s="66"/>
      <c r="W49" s="66"/>
      <c r="X49" s="66"/>
      <c r="Y49" s="66"/>
      <c r="Z49" s="199"/>
      <c r="AA49" s="199"/>
      <c r="AB49" s="199"/>
      <c r="AC49" s="15"/>
      <c r="AD49" s="15"/>
    </row>
    <row r="50" spans="1:30" s="69" customFormat="1" ht="38.25" x14ac:dyDescent="0.2">
      <c r="A50" s="67" t="s">
        <v>177</v>
      </c>
      <c r="B50" s="68"/>
      <c r="C50" s="68"/>
      <c r="D50" s="68"/>
      <c r="E50" s="68"/>
      <c r="F50" s="68"/>
      <c r="G50" s="68"/>
      <c r="H50" s="68"/>
      <c r="I50" s="68"/>
      <c r="J50" s="68"/>
      <c r="K50" s="68"/>
      <c r="L50" s="106"/>
      <c r="M50" s="68"/>
      <c r="N50" s="68"/>
      <c r="O50" s="68"/>
      <c r="P50" s="68"/>
      <c r="Q50" s="68"/>
      <c r="R50" s="68"/>
      <c r="S50" s="68"/>
      <c r="T50" s="68"/>
      <c r="U50" s="68"/>
      <c r="V50" s="68"/>
      <c r="W50" s="68"/>
      <c r="X50" s="68"/>
      <c r="Y50" s="68"/>
      <c r="Z50" s="68"/>
      <c r="AA50" s="68"/>
      <c r="AB50" s="68"/>
      <c r="AC50" s="15"/>
      <c r="AD50" s="15"/>
    </row>
    <row r="51" spans="1:30" ht="25.5" x14ac:dyDescent="0.2">
      <c r="A51" s="95" t="s">
        <v>149</v>
      </c>
      <c r="B51" s="68"/>
      <c r="C51" s="68"/>
      <c r="D51" s="68"/>
      <c r="E51" s="68"/>
      <c r="F51" s="68"/>
      <c r="G51" s="68"/>
      <c r="H51" s="68"/>
      <c r="I51" s="68"/>
      <c r="J51" s="68"/>
      <c r="K51" s="68"/>
      <c r="L51" s="106"/>
      <c r="M51" s="68"/>
      <c r="N51" s="68"/>
      <c r="O51" s="68"/>
      <c r="P51" s="68"/>
      <c r="Q51" s="68"/>
      <c r="R51" s="68"/>
      <c r="S51" s="68"/>
      <c r="T51" s="68"/>
      <c r="U51" s="68"/>
      <c r="V51" s="68"/>
      <c r="W51" s="68"/>
      <c r="X51" s="68"/>
      <c r="Y51" s="68"/>
      <c r="Z51" s="68"/>
      <c r="AA51" s="68"/>
      <c r="AB51" s="68"/>
      <c r="AC51" s="15"/>
      <c r="AD51" s="15"/>
    </row>
    <row r="69" ht="12.75" customHeight="1" x14ac:dyDescent="0.2"/>
    <row r="70" ht="12.75" customHeight="1" x14ac:dyDescent="0.2"/>
    <row r="71" ht="12.75" customHeight="1" x14ac:dyDescent="0.2"/>
    <row r="72" ht="12.75" customHeight="1" x14ac:dyDescent="0.2"/>
    <row r="73" ht="12.75" customHeight="1" x14ac:dyDescent="0.2"/>
    <row r="82" spans="1:3" ht="56.25" customHeight="1" x14ac:dyDescent="0.2"/>
    <row r="84" spans="1:3" s="47" customFormat="1" x14ac:dyDescent="0.2">
      <c r="A84" s="70"/>
      <c r="B84" s="70"/>
      <c r="C84" s="70"/>
    </row>
    <row r="85" spans="1:3" ht="10.5" customHeight="1" x14ac:dyDescent="0.2"/>
    <row r="87" spans="1:3" ht="11.25" customHeight="1" x14ac:dyDescent="0.2"/>
    <row r="88" spans="1:3" s="64" customFormat="1" x14ac:dyDescent="0.2">
      <c r="A88" s="70"/>
      <c r="B88" s="70"/>
      <c r="C88" s="70"/>
    </row>
    <row r="124" ht="12.75" customHeight="1" x14ac:dyDescent="0.2"/>
    <row r="134" spans="1:3" ht="11.25" customHeight="1" x14ac:dyDescent="0.2"/>
    <row r="136" spans="1:3" ht="11.25" customHeight="1" x14ac:dyDescent="0.2"/>
    <row r="137" spans="1:3" s="64" customFormat="1" x14ac:dyDescent="0.2">
      <c r="A137" s="70"/>
      <c r="B137" s="70"/>
      <c r="C137" s="70"/>
    </row>
    <row r="140" spans="1:3" s="71" customFormat="1" x14ac:dyDescent="0.2">
      <c r="A140" s="70"/>
      <c r="B140" s="70"/>
      <c r="C140" s="70"/>
    </row>
    <row r="158" ht="27.75" customHeight="1" x14ac:dyDescent="0.2"/>
    <row r="181" spans="1:3" ht="10.5" customHeight="1" x14ac:dyDescent="0.2"/>
    <row r="183" spans="1:3" ht="11.25" customHeight="1" x14ac:dyDescent="0.2"/>
    <row r="184" spans="1:3" s="64" customFormat="1" x14ac:dyDescent="0.2">
      <c r="A184" s="70"/>
      <c r="B184" s="70"/>
      <c r="C184" s="70"/>
    </row>
    <row r="186" spans="1:3" ht="12.75" hidden="1" customHeight="1" x14ac:dyDescent="0.2"/>
    <row r="187" spans="1:3" ht="12.75" hidden="1" customHeight="1" x14ac:dyDescent="0.2"/>
    <row r="188" spans="1:3" ht="12.75" hidden="1" customHeight="1" x14ac:dyDescent="0.2"/>
    <row r="189" spans="1:3" ht="12.75" hidden="1" customHeight="1" x14ac:dyDescent="0.2"/>
    <row r="190" spans="1:3" ht="12.75" hidden="1" customHeight="1" x14ac:dyDescent="0.2"/>
    <row r="191" spans="1:3" ht="12.75" hidden="1" customHeight="1" x14ac:dyDescent="0.2"/>
    <row r="192" spans="1:3"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30" ht="25.5" customHeight="1" x14ac:dyDescent="0.2"/>
    <row r="253" ht="58.5" customHeight="1" x14ac:dyDescent="0.2"/>
    <row r="255" ht="27" customHeight="1" x14ac:dyDescent="0.2"/>
    <row r="256" ht="11.25" customHeight="1" x14ac:dyDescent="0.2"/>
    <row r="258" spans="1:3" ht="11.25" customHeight="1" x14ac:dyDescent="0.2"/>
    <row r="259" spans="1:3" s="64" customFormat="1" x14ac:dyDescent="0.2">
      <c r="A259" s="70"/>
      <c r="B259" s="70"/>
      <c r="C259" s="70"/>
    </row>
    <row r="277" ht="54.75" customHeight="1" x14ac:dyDescent="0.2"/>
  </sheetData>
  <mergeCells count="3">
    <mergeCell ref="A1:C1"/>
    <mergeCell ref="A2:C2"/>
    <mergeCell ref="A4:C4"/>
  </mergeCells>
  <printOptions horizontalCentered="1" gridLines="1"/>
  <pageMargins left="0.25" right="0.25" top="0.25" bottom="0.75" header="1" footer="0.25"/>
  <pageSetup firstPageNumber="11" orientation="portrait" useFirstPageNumber="1" r:id="rId1"/>
  <headerFooter alignWithMargins="0">
    <oddFooter>&amp;C&amp;"Times New Roman,Regular"&amp;9p. 3 of 6&amp;R&amp;"Times New Roman,Regular"&amp;9 2-27-08</oddFooter>
  </headerFooter>
  <rowBreaks count="1" manualBreakCount="1">
    <brk id="2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6"/>
  <sheetViews>
    <sheetView workbookViewId="0">
      <selection sqref="A1:C1"/>
    </sheetView>
  </sheetViews>
  <sheetFormatPr defaultRowHeight="12.75" x14ac:dyDescent="0.2"/>
  <cols>
    <col min="1" max="1" width="49.140625" customWidth="1"/>
    <col min="2" max="2" width="12.28515625" customWidth="1"/>
    <col min="3" max="3" width="10.5703125" customWidth="1"/>
    <col min="4" max="5" width="11.5703125" style="1" customWidth="1"/>
    <col min="6" max="8" width="11.7109375" style="1" customWidth="1"/>
    <col min="9" max="9" width="11" style="1" customWidth="1"/>
    <col min="10" max="10" width="12.28515625" style="1" customWidth="1"/>
    <col min="11" max="11" width="11.5703125" style="1" customWidth="1"/>
    <col min="12" max="12" width="15.28515625" style="1" customWidth="1"/>
    <col min="13" max="13" width="11.7109375" style="1" customWidth="1"/>
    <col min="14" max="14" width="11.42578125" style="1" customWidth="1"/>
    <col min="15" max="15" width="12.42578125" style="1" customWidth="1"/>
    <col min="16" max="16" width="11.28515625" style="1" customWidth="1"/>
    <col min="17" max="17" width="11.5703125" style="1" customWidth="1"/>
    <col min="18" max="18" width="12.140625" style="1" customWidth="1"/>
    <col min="19" max="19" width="12.28515625" style="1" customWidth="1"/>
    <col min="20" max="20" width="10.42578125" style="1" customWidth="1"/>
    <col min="21" max="21" width="11.5703125" style="1" customWidth="1"/>
    <col min="22" max="22" width="11.42578125" style="1" customWidth="1"/>
    <col min="23" max="23" width="11.7109375" style="1" customWidth="1"/>
    <col min="24" max="24" width="12.5703125" style="1" customWidth="1"/>
    <col min="25" max="26" width="11.7109375" style="1" customWidth="1"/>
    <col min="27" max="27" width="10.42578125" style="1" customWidth="1"/>
    <col min="28" max="28" width="10" style="1" customWidth="1"/>
    <col min="29" max="29" width="2.42578125" style="1" customWidth="1"/>
    <col min="30" max="30" width="11.140625" style="1" bestFit="1" customWidth="1"/>
    <col min="31" max="16384" width="9.140625" style="1"/>
  </cols>
  <sheetData>
    <row r="1" spans="1:32" ht="20.25" customHeight="1" x14ac:dyDescent="0.3">
      <c r="A1" s="211" t="s">
        <v>85</v>
      </c>
      <c r="B1" s="212"/>
      <c r="C1" s="212"/>
    </row>
    <row r="2" spans="1:32" ht="18.75" x14ac:dyDescent="0.3">
      <c r="A2" s="213" t="s">
        <v>156</v>
      </c>
      <c r="B2" s="214"/>
      <c r="C2" s="214"/>
    </row>
    <row r="3" spans="1:32" ht="9.75" customHeight="1" x14ac:dyDescent="0.3">
      <c r="A3" s="2"/>
      <c r="B3" s="3"/>
      <c r="C3" s="3"/>
    </row>
    <row r="4" spans="1:32" ht="16.5" customHeight="1" x14ac:dyDescent="0.3">
      <c r="A4" s="213" t="s">
        <v>86</v>
      </c>
      <c r="B4" s="214"/>
      <c r="C4" s="214"/>
    </row>
    <row r="5" spans="1:32" ht="7.5" customHeight="1" x14ac:dyDescent="0.2">
      <c r="A5" s="4"/>
      <c r="B5" s="5"/>
      <c r="C5" s="5"/>
    </row>
    <row r="6" spans="1:32" s="8" customFormat="1" ht="72.75" x14ac:dyDescent="0.25">
      <c r="A6" s="6" t="s">
        <v>2</v>
      </c>
      <c r="B6" s="7" t="s">
        <v>193</v>
      </c>
      <c r="C6" s="7" t="s">
        <v>194</v>
      </c>
      <c r="D6" s="99" t="s">
        <v>195</v>
      </c>
      <c r="E6" s="99" t="s">
        <v>196</v>
      </c>
      <c r="F6" s="99" t="s">
        <v>197</v>
      </c>
      <c r="G6" s="99" t="s">
        <v>198</v>
      </c>
      <c r="H6" s="99" t="s">
        <v>199</v>
      </c>
      <c r="I6" s="99" t="s">
        <v>200</v>
      </c>
      <c r="J6" s="99" t="s">
        <v>201</v>
      </c>
      <c r="K6" s="99" t="s">
        <v>202</v>
      </c>
      <c r="L6" s="99" t="s">
        <v>203</v>
      </c>
      <c r="M6" s="99" t="s">
        <v>204</v>
      </c>
      <c r="N6" s="99" t="s">
        <v>205</v>
      </c>
      <c r="O6" s="99" t="s">
        <v>334</v>
      </c>
      <c r="P6" s="99" t="s">
        <v>206</v>
      </c>
      <c r="Q6" s="99" t="s">
        <v>207</v>
      </c>
      <c r="R6" s="99" t="s">
        <v>208</v>
      </c>
      <c r="S6" s="99" t="s">
        <v>209</v>
      </c>
      <c r="T6" s="99" t="s">
        <v>210</v>
      </c>
      <c r="U6" s="99" t="s">
        <v>211</v>
      </c>
      <c r="V6" s="99" t="s">
        <v>212</v>
      </c>
      <c r="W6" s="99" t="s">
        <v>213</v>
      </c>
      <c r="X6" s="99" t="s">
        <v>214</v>
      </c>
      <c r="Y6" s="99" t="s">
        <v>215</v>
      </c>
      <c r="Z6" s="99" t="s">
        <v>216</v>
      </c>
      <c r="AA6" s="99" t="s">
        <v>217</v>
      </c>
      <c r="AB6" s="99" t="s">
        <v>218</v>
      </c>
      <c r="AC6" s="72"/>
      <c r="AD6" s="99" t="s">
        <v>284</v>
      </c>
    </row>
    <row r="7" spans="1:32" ht="12.75" customHeight="1" x14ac:dyDescent="0.25">
      <c r="A7" s="33"/>
      <c r="B7" s="15"/>
      <c r="C7" s="15"/>
      <c r="D7" s="15"/>
      <c r="E7" s="15"/>
      <c r="F7" s="15"/>
      <c r="G7" s="15"/>
      <c r="H7" s="15"/>
      <c r="I7" s="15"/>
      <c r="J7" s="15"/>
      <c r="K7" s="15"/>
      <c r="L7" s="98"/>
      <c r="M7" s="15"/>
      <c r="N7" s="15"/>
      <c r="O7" s="15"/>
      <c r="P7" s="15"/>
      <c r="Q7" s="15"/>
      <c r="R7" s="15"/>
      <c r="S7" s="15"/>
      <c r="T7" s="15"/>
      <c r="U7" s="15"/>
      <c r="V7" s="15"/>
      <c r="W7" s="15"/>
      <c r="X7" s="15"/>
      <c r="Y7" s="15"/>
      <c r="Z7" s="15"/>
      <c r="AA7" s="15"/>
      <c r="AB7" s="15"/>
      <c r="AC7" s="72"/>
      <c r="AD7" s="72"/>
    </row>
    <row r="8" spans="1:32" ht="27" x14ac:dyDescent="0.25">
      <c r="A8" s="16" t="s">
        <v>178</v>
      </c>
      <c r="B8" s="72"/>
      <c r="C8" s="72"/>
      <c r="D8" s="72"/>
      <c r="E8" s="72"/>
      <c r="F8" s="72"/>
      <c r="G8" s="72"/>
      <c r="H8" s="72"/>
      <c r="I8" s="72"/>
      <c r="J8" s="72"/>
      <c r="K8" s="72"/>
      <c r="L8" s="107"/>
      <c r="M8" s="72"/>
      <c r="N8" s="72"/>
      <c r="O8" s="72"/>
      <c r="P8" s="72"/>
      <c r="Q8" s="72"/>
      <c r="R8" s="72"/>
      <c r="S8" s="72"/>
      <c r="T8" s="72"/>
      <c r="U8" s="72"/>
      <c r="V8" s="72"/>
      <c r="W8" s="72"/>
      <c r="X8" s="72"/>
      <c r="Y8" s="72"/>
      <c r="Z8" s="72"/>
      <c r="AA8" s="72"/>
      <c r="AB8" s="72"/>
      <c r="AC8" s="72"/>
      <c r="AD8" s="72"/>
    </row>
    <row r="9" spans="1:32" ht="13.5" x14ac:dyDescent="0.25">
      <c r="A9" s="73" t="s">
        <v>87</v>
      </c>
      <c r="B9" s="58">
        <v>31984501</v>
      </c>
      <c r="C9" s="58">
        <v>35878799</v>
      </c>
      <c r="D9" s="58">
        <v>16695468</v>
      </c>
      <c r="E9" s="58">
        <v>45911971</v>
      </c>
      <c r="F9" s="58">
        <v>9669409</v>
      </c>
      <c r="G9" s="58">
        <v>58171503</v>
      </c>
      <c r="H9" s="58">
        <v>9824384</v>
      </c>
      <c r="I9" s="58">
        <v>29393905</v>
      </c>
      <c r="J9" s="58">
        <v>3027939</v>
      </c>
      <c r="K9" s="58">
        <v>53813000</v>
      </c>
      <c r="L9" s="108">
        <v>16673403</v>
      </c>
      <c r="M9" s="58">
        <v>50843320</v>
      </c>
      <c r="N9" s="115">
        <v>27869671</v>
      </c>
      <c r="O9" s="58">
        <v>32259248</v>
      </c>
      <c r="P9" s="58">
        <v>25191662</v>
      </c>
      <c r="Q9" s="58">
        <v>27911836</v>
      </c>
      <c r="R9" s="58">
        <v>23313124</v>
      </c>
      <c r="S9" s="58">
        <f>6320*831.4</f>
        <v>5254448</v>
      </c>
      <c r="T9" s="58">
        <v>26680714</v>
      </c>
      <c r="U9" s="58">
        <v>15062000</v>
      </c>
      <c r="V9" s="58">
        <v>32399944</v>
      </c>
      <c r="W9" s="58">
        <v>9770221</v>
      </c>
      <c r="X9" s="58">
        <v>18223127</v>
      </c>
      <c r="Y9" s="58">
        <v>19456333</v>
      </c>
      <c r="Z9" s="58">
        <v>2706882</v>
      </c>
      <c r="AA9" s="58">
        <v>7891686</v>
      </c>
      <c r="AB9" s="58">
        <v>12493617</v>
      </c>
      <c r="AC9" s="72"/>
      <c r="AD9" s="117">
        <f>AVERAGE(B9:AB9)</f>
        <v>24013782.037037037</v>
      </c>
      <c r="AE9" s="164"/>
      <c r="AF9" s="1">
        <f>COUNT(B9:AB9)</f>
        <v>27</v>
      </c>
    </row>
    <row r="10" spans="1:32" ht="13.5" x14ac:dyDescent="0.25">
      <c r="A10" s="13" t="s">
        <v>88</v>
      </c>
      <c r="B10" s="59"/>
      <c r="C10" s="59"/>
      <c r="D10" s="59"/>
      <c r="E10" s="59"/>
      <c r="F10" s="59"/>
      <c r="G10" s="59"/>
      <c r="H10" s="59"/>
      <c r="I10" s="59"/>
      <c r="J10" s="59"/>
      <c r="K10" s="59"/>
      <c r="L10" s="109"/>
      <c r="M10" s="59"/>
      <c r="N10" s="59"/>
      <c r="O10" s="59"/>
      <c r="P10" s="59"/>
      <c r="Q10" s="59"/>
      <c r="R10" s="59"/>
      <c r="S10" s="59"/>
      <c r="T10" s="59"/>
      <c r="U10" s="59"/>
      <c r="V10" s="59"/>
      <c r="W10" s="59"/>
      <c r="X10" s="59"/>
      <c r="Y10" s="59"/>
      <c r="Z10" s="59"/>
      <c r="AA10" s="59"/>
      <c r="AB10" s="59"/>
      <c r="AC10" s="72"/>
      <c r="AD10" s="72"/>
    </row>
    <row r="11" spans="1:32" ht="13.5" x14ac:dyDescent="0.25">
      <c r="A11" s="13" t="s">
        <v>89</v>
      </c>
      <c r="B11" s="58">
        <v>1312602</v>
      </c>
      <c r="C11" s="58">
        <v>5586070</v>
      </c>
      <c r="D11" s="58">
        <v>3577785</v>
      </c>
      <c r="E11" s="58">
        <v>386820</v>
      </c>
      <c r="F11" s="58">
        <v>1862499</v>
      </c>
      <c r="G11" s="58">
        <v>1250271</v>
      </c>
      <c r="H11" s="58">
        <v>550213</v>
      </c>
      <c r="I11" s="58">
        <v>1562458</v>
      </c>
      <c r="J11" s="58">
        <v>637292</v>
      </c>
      <c r="K11" s="58">
        <v>1141000</v>
      </c>
      <c r="L11" s="108">
        <v>1310665</v>
      </c>
      <c r="M11" s="58">
        <v>6986135</v>
      </c>
      <c r="N11" s="115">
        <v>1956600</v>
      </c>
      <c r="O11" s="58">
        <v>730590</v>
      </c>
      <c r="P11" s="58">
        <v>629427</v>
      </c>
      <c r="Q11" s="58">
        <v>1923716</v>
      </c>
      <c r="R11" s="58">
        <v>3093774</v>
      </c>
      <c r="S11" s="58"/>
      <c r="T11" s="58">
        <v>3351701</v>
      </c>
      <c r="U11" s="58">
        <v>1459000</v>
      </c>
      <c r="V11" s="58">
        <v>563746</v>
      </c>
      <c r="W11" s="58">
        <v>729839</v>
      </c>
      <c r="X11" s="58">
        <v>1738303</v>
      </c>
      <c r="Y11" s="58">
        <v>1744197</v>
      </c>
      <c r="Z11" s="58">
        <v>346115</v>
      </c>
      <c r="AA11" s="58">
        <v>859292</v>
      </c>
      <c r="AB11" s="58">
        <v>2635889</v>
      </c>
      <c r="AC11" s="72"/>
      <c r="AD11" s="117">
        <f t="shared" ref="AD11:AD16" si="0">AVERAGE(B11:AB11)</f>
        <v>1843307.6538461538</v>
      </c>
      <c r="AF11" s="1">
        <f t="shared" ref="AF11:AF16" si="1">COUNT(B11:AB11)</f>
        <v>26</v>
      </c>
    </row>
    <row r="12" spans="1:32" ht="13.5" x14ac:dyDescent="0.25">
      <c r="A12" s="13" t="s">
        <v>90</v>
      </c>
      <c r="B12" s="58">
        <v>1255029</v>
      </c>
      <c r="C12" s="58">
        <v>9637963</v>
      </c>
      <c r="D12" s="58">
        <v>11760421</v>
      </c>
      <c r="E12" s="58"/>
      <c r="F12" s="58">
        <v>1348537</v>
      </c>
      <c r="G12" s="58">
        <v>25695</v>
      </c>
      <c r="H12" s="58">
        <v>297497</v>
      </c>
      <c r="I12" s="58">
        <v>2554470</v>
      </c>
      <c r="J12" s="58"/>
      <c r="K12" s="58">
        <v>2395000</v>
      </c>
      <c r="L12" s="108">
        <v>4299326</v>
      </c>
      <c r="M12" s="58">
        <v>644780</v>
      </c>
      <c r="N12" s="115">
        <v>134992</v>
      </c>
      <c r="O12" s="58">
        <v>168460</v>
      </c>
      <c r="P12" s="58">
        <v>132062</v>
      </c>
      <c r="Q12" s="58">
        <v>104183</v>
      </c>
      <c r="R12" s="58">
        <v>123030</v>
      </c>
      <c r="S12" s="58"/>
      <c r="T12" s="58">
        <v>3728991</v>
      </c>
      <c r="U12" s="58">
        <v>2482000</v>
      </c>
      <c r="V12" s="58">
        <v>115050</v>
      </c>
      <c r="W12" s="58">
        <v>26239</v>
      </c>
      <c r="X12" s="58">
        <v>6368105</v>
      </c>
      <c r="Y12" s="58">
        <v>405540</v>
      </c>
      <c r="Z12" s="58">
        <v>877378</v>
      </c>
      <c r="AA12" s="58">
        <v>26104</v>
      </c>
      <c r="AB12" s="58">
        <v>116098</v>
      </c>
      <c r="AC12" s="72"/>
      <c r="AD12" s="117">
        <f t="shared" si="0"/>
        <v>2042789.5833333333</v>
      </c>
      <c r="AF12" s="1">
        <f t="shared" si="1"/>
        <v>24</v>
      </c>
    </row>
    <row r="13" spans="1:32" ht="13.5" x14ac:dyDescent="0.25">
      <c r="A13" s="13" t="s">
        <v>91</v>
      </c>
      <c r="B13" s="58">
        <v>257730</v>
      </c>
      <c r="C13" s="58">
        <v>3241912</v>
      </c>
      <c r="D13" s="58">
        <v>1172166</v>
      </c>
      <c r="E13" s="58">
        <v>42482</v>
      </c>
      <c r="F13" s="58">
        <v>220507</v>
      </c>
      <c r="G13" s="58">
        <v>825131</v>
      </c>
      <c r="H13" s="58">
        <v>159181</v>
      </c>
      <c r="I13" s="58">
        <v>210246</v>
      </c>
      <c r="J13" s="58">
        <v>592453</v>
      </c>
      <c r="K13" s="58"/>
      <c r="L13" s="108">
        <v>111536</v>
      </c>
      <c r="M13" s="58">
        <v>827033</v>
      </c>
      <c r="N13" s="115">
        <v>1140702</v>
      </c>
      <c r="O13" s="58">
        <v>0</v>
      </c>
      <c r="P13" s="58">
        <v>568807</v>
      </c>
      <c r="Q13" s="58">
        <v>2256492</v>
      </c>
      <c r="R13" s="58">
        <v>115988</v>
      </c>
      <c r="S13" s="58"/>
      <c r="T13" s="58">
        <v>1130736</v>
      </c>
      <c r="U13" s="58">
        <v>469000</v>
      </c>
      <c r="V13" s="58">
        <v>796730</v>
      </c>
      <c r="W13" s="58">
        <v>356403</v>
      </c>
      <c r="X13" s="58"/>
      <c r="Y13" s="58">
        <v>638568</v>
      </c>
      <c r="Z13" s="58"/>
      <c r="AA13" s="58"/>
      <c r="AB13" s="58">
        <v>121001</v>
      </c>
      <c r="AC13" s="72"/>
      <c r="AD13" s="117">
        <f t="shared" si="0"/>
        <v>693400.18181818177</v>
      </c>
      <c r="AF13" s="1">
        <f t="shared" si="1"/>
        <v>22</v>
      </c>
    </row>
    <row r="14" spans="1:32" ht="13.5" x14ac:dyDescent="0.25">
      <c r="A14" s="13" t="s">
        <v>92</v>
      </c>
      <c r="B14" s="58">
        <v>26687778</v>
      </c>
      <c r="C14" s="58">
        <v>9342111</v>
      </c>
      <c r="D14" s="58">
        <v>12532296</v>
      </c>
      <c r="E14" s="58">
        <v>25846924</v>
      </c>
      <c r="F14" s="58">
        <v>6153483</v>
      </c>
      <c r="G14" s="58">
        <v>37510869</v>
      </c>
      <c r="H14" s="58">
        <v>7650045</v>
      </c>
      <c r="I14" s="58">
        <v>8257663</v>
      </c>
      <c r="J14" s="58">
        <v>5824741</v>
      </c>
      <c r="K14" s="58">
        <v>35764000</v>
      </c>
      <c r="L14" s="108">
        <v>18386995</v>
      </c>
      <c r="M14" s="58">
        <v>20622417</v>
      </c>
      <c r="N14" s="115">
        <v>18816709</v>
      </c>
      <c r="O14" s="58">
        <v>4436258</v>
      </c>
      <c r="P14" s="58">
        <v>18830641</v>
      </c>
      <c r="Q14" s="58">
        <v>35280897</v>
      </c>
      <c r="R14" s="58">
        <v>23921512</v>
      </c>
      <c r="S14" s="58">
        <v>3522322.39</v>
      </c>
      <c r="T14" s="58">
        <v>12552865</v>
      </c>
      <c r="U14" s="58">
        <v>9066000</v>
      </c>
      <c r="V14" s="58">
        <v>31404969</v>
      </c>
      <c r="W14" s="58">
        <v>6124711</v>
      </c>
      <c r="X14" s="58">
        <v>6869774</v>
      </c>
      <c r="Y14" s="58">
        <v>9011278</v>
      </c>
      <c r="Z14" s="58">
        <v>2998790</v>
      </c>
      <c r="AA14" s="58">
        <v>6945716</v>
      </c>
      <c r="AB14" s="58">
        <v>5057308</v>
      </c>
      <c r="AC14" s="72"/>
      <c r="AD14" s="117">
        <f t="shared" si="0"/>
        <v>15163669.347777776</v>
      </c>
      <c r="AF14" s="1">
        <f t="shared" si="1"/>
        <v>27</v>
      </c>
    </row>
    <row r="15" spans="1:32" ht="13.5" x14ac:dyDescent="0.25">
      <c r="A15" s="13" t="s">
        <v>93</v>
      </c>
      <c r="B15" s="58">
        <v>284695</v>
      </c>
      <c r="C15" s="58">
        <v>915911</v>
      </c>
      <c r="D15" s="58">
        <v>51973</v>
      </c>
      <c r="E15" s="58">
        <v>769198</v>
      </c>
      <c r="F15" s="58"/>
      <c r="G15" s="58">
        <v>2223965</v>
      </c>
      <c r="H15" s="58">
        <v>1582911</v>
      </c>
      <c r="I15" s="58">
        <v>1586110</v>
      </c>
      <c r="J15" s="58">
        <v>178281</v>
      </c>
      <c r="K15" s="58">
        <v>7219000</v>
      </c>
      <c r="L15" s="108">
        <v>891788</v>
      </c>
      <c r="M15" s="58">
        <v>4754489</v>
      </c>
      <c r="N15" s="115">
        <v>1040214</v>
      </c>
      <c r="O15" s="58">
        <v>39434</v>
      </c>
      <c r="P15" s="58">
        <v>1613840</v>
      </c>
      <c r="Q15" s="58">
        <v>1195732</v>
      </c>
      <c r="R15" s="58">
        <v>1827785</v>
      </c>
      <c r="S15" s="58">
        <v>1733178.86</v>
      </c>
      <c r="T15" s="58">
        <v>2622423</v>
      </c>
      <c r="U15" s="58">
        <v>483000</v>
      </c>
      <c r="V15" s="58"/>
      <c r="W15" s="58">
        <v>39206</v>
      </c>
      <c r="X15" s="58">
        <v>1577601</v>
      </c>
      <c r="Y15" s="58">
        <v>1096496</v>
      </c>
      <c r="Z15" s="58"/>
      <c r="AA15" s="58"/>
      <c r="AB15" s="58">
        <v>3685824</v>
      </c>
      <c r="AC15" s="72"/>
      <c r="AD15" s="117">
        <f t="shared" si="0"/>
        <v>1626654.5591304346</v>
      </c>
      <c r="AF15" s="1">
        <f t="shared" si="1"/>
        <v>23</v>
      </c>
    </row>
    <row r="16" spans="1:32" ht="13.5" x14ac:dyDescent="0.25">
      <c r="A16" s="74" t="s">
        <v>94</v>
      </c>
      <c r="B16" s="58">
        <v>62682335</v>
      </c>
      <c r="C16" s="58">
        <v>65401513</v>
      </c>
      <c r="D16" s="58">
        <v>47639279</v>
      </c>
      <c r="E16" s="58">
        <v>74715905</v>
      </c>
      <c r="F16" s="58">
        <v>19747241</v>
      </c>
      <c r="G16" s="58">
        <v>100611583</v>
      </c>
      <c r="H16" s="58">
        <v>20064231</v>
      </c>
      <c r="I16" s="58">
        <v>44731191</v>
      </c>
      <c r="J16" s="58">
        <v>10260706</v>
      </c>
      <c r="K16" s="58">
        <v>100332000</v>
      </c>
      <c r="L16" s="108">
        <v>41730687</v>
      </c>
      <c r="M16" s="58">
        <v>85099958</v>
      </c>
      <c r="N16" s="115">
        <v>52933966</v>
      </c>
      <c r="O16" s="58">
        <v>54158206</v>
      </c>
      <c r="P16" s="58">
        <v>48258990</v>
      </c>
      <c r="Q16" s="58">
        <v>68672856</v>
      </c>
      <c r="R16" s="58">
        <v>52844297</v>
      </c>
      <c r="S16" s="58">
        <f>SUM(S9:S15)</f>
        <v>10509949.25</v>
      </c>
      <c r="T16" s="58">
        <v>53593460</v>
      </c>
      <c r="U16" s="58">
        <v>30238000</v>
      </c>
      <c r="V16" s="58">
        <v>66448025</v>
      </c>
      <c r="W16" s="58">
        <v>17278230</v>
      </c>
      <c r="X16" s="58">
        <v>34776910</v>
      </c>
      <c r="Y16" s="58">
        <v>33223507</v>
      </c>
      <c r="Z16" s="58"/>
      <c r="AA16" s="58">
        <v>15810821</v>
      </c>
      <c r="AB16" s="58">
        <v>26951888</v>
      </c>
      <c r="AC16" s="72"/>
      <c r="AD16" s="117">
        <f t="shared" si="0"/>
        <v>47642912.855769232</v>
      </c>
      <c r="AF16" s="1">
        <f t="shared" si="1"/>
        <v>26</v>
      </c>
    </row>
    <row r="17" spans="1:32" ht="13.5" x14ac:dyDescent="0.25">
      <c r="A17" s="13" t="s">
        <v>95</v>
      </c>
      <c r="B17" s="59"/>
      <c r="C17" s="59"/>
      <c r="D17" s="59"/>
      <c r="E17" s="59"/>
      <c r="F17" s="59"/>
      <c r="G17" s="59"/>
      <c r="H17" s="59"/>
      <c r="I17" s="59"/>
      <c r="J17" s="59"/>
      <c r="K17" s="59"/>
      <c r="L17" s="109"/>
      <c r="M17" s="59"/>
      <c r="N17" s="59"/>
      <c r="O17" s="59"/>
      <c r="P17" s="59"/>
      <c r="Q17" s="59"/>
      <c r="R17" s="59"/>
      <c r="S17" s="59"/>
      <c r="T17" s="59"/>
      <c r="U17" s="59"/>
      <c r="V17" s="59"/>
      <c r="W17" s="59"/>
      <c r="X17" s="59"/>
      <c r="Y17" s="59"/>
      <c r="Z17" s="59"/>
      <c r="AA17" s="59"/>
      <c r="AB17" s="59"/>
      <c r="AC17" s="72"/>
      <c r="AD17" s="72"/>
    </row>
    <row r="18" spans="1:32" s="22" customFormat="1" ht="12.75" customHeight="1" x14ac:dyDescent="0.25">
      <c r="A18" s="13" t="s">
        <v>96</v>
      </c>
      <c r="B18" s="58"/>
      <c r="C18" s="58"/>
      <c r="D18" s="58"/>
      <c r="E18" s="58"/>
      <c r="F18" s="58"/>
      <c r="G18" s="58"/>
      <c r="H18" s="58"/>
      <c r="I18" s="58"/>
      <c r="J18" s="58"/>
      <c r="K18" s="58"/>
      <c r="L18" s="108"/>
      <c r="M18" s="58"/>
      <c r="N18" s="115"/>
      <c r="O18" s="58">
        <v>0</v>
      </c>
      <c r="P18" s="58"/>
      <c r="Q18" s="58"/>
      <c r="R18" s="58"/>
      <c r="S18" s="58"/>
      <c r="T18" s="58"/>
      <c r="U18" s="58"/>
      <c r="V18" s="58"/>
      <c r="W18" s="58">
        <v>68589</v>
      </c>
      <c r="X18" s="58"/>
      <c r="Y18" s="58"/>
      <c r="Z18" s="58"/>
      <c r="AA18" s="58"/>
      <c r="AB18" s="58"/>
      <c r="AC18" s="72"/>
      <c r="AD18" s="148" t="s">
        <v>298</v>
      </c>
      <c r="AF18" s="22">
        <f>COUNT(B18:AB18)</f>
        <v>2</v>
      </c>
    </row>
    <row r="19" spans="1:32" ht="13.5" x14ac:dyDescent="0.25">
      <c r="A19" s="13" t="s">
        <v>97</v>
      </c>
      <c r="B19" s="58">
        <v>38228551</v>
      </c>
      <c r="C19" s="58">
        <v>18360000</v>
      </c>
      <c r="D19" s="58"/>
      <c r="E19" s="58">
        <v>27160310</v>
      </c>
      <c r="F19" s="58">
        <v>20991048</v>
      </c>
      <c r="G19" s="58">
        <v>6904650</v>
      </c>
      <c r="H19" s="58">
        <v>16287867</v>
      </c>
      <c r="I19" s="58">
        <v>21185703</v>
      </c>
      <c r="J19" s="58">
        <v>15027109</v>
      </c>
      <c r="K19" s="58">
        <v>32974000</v>
      </c>
      <c r="L19" s="108">
        <v>11202798</v>
      </c>
      <c r="M19" s="58">
        <v>44156248</v>
      </c>
      <c r="N19" s="115">
        <v>12972645</v>
      </c>
      <c r="O19" s="58">
        <v>29886197</v>
      </c>
      <c r="P19" s="58">
        <v>17961643</v>
      </c>
      <c r="Q19" s="58">
        <v>43069831</v>
      </c>
      <c r="R19" s="58">
        <v>41526613</v>
      </c>
      <c r="S19" s="58"/>
      <c r="T19" s="58">
        <v>18940603</v>
      </c>
      <c r="U19" s="58">
        <v>10234000</v>
      </c>
      <c r="V19" s="58">
        <v>21297627</v>
      </c>
      <c r="W19" s="58">
        <v>18367614</v>
      </c>
      <c r="X19" s="58">
        <v>18282759</v>
      </c>
      <c r="Y19" s="58">
        <v>35659695</v>
      </c>
      <c r="Z19" s="58">
        <v>7469451</v>
      </c>
      <c r="AA19" s="58">
        <v>14337983</v>
      </c>
      <c r="AB19" s="58">
        <v>16875142</v>
      </c>
      <c r="AC19" s="72"/>
      <c r="AD19" s="117">
        <f>AVERAGE(B19:AB19)</f>
        <v>22374403.48</v>
      </c>
      <c r="AF19" s="1">
        <f>COUNT(B19:AB19)</f>
        <v>25</v>
      </c>
    </row>
    <row r="20" spans="1:32" ht="13.5" x14ac:dyDescent="0.25">
      <c r="A20" s="13" t="s">
        <v>98</v>
      </c>
      <c r="B20" s="58"/>
      <c r="C20" s="58"/>
      <c r="D20" s="58"/>
      <c r="E20" s="58"/>
      <c r="F20" s="58"/>
      <c r="G20" s="58"/>
      <c r="H20" s="58"/>
      <c r="I20" s="58"/>
      <c r="J20" s="58"/>
      <c r="K20" s="58"/>
      <c r="L20" s="108"/>
      <c r="M20" s="58"/>
      <c r="N20" s="115"/>
      <c r="O20" s="58">
        <v>0</v>
      </c>
      <c r="P20" s="58"/>
      <c r="Q20" s="58"/>
      <c r="R20" s="58"/>
      <c r="S20" s="58"/>
      <c r="T20" s="58"/>
      <c r="U20" s="58"/>
      <c r="V20" s="58"/>
      <c r="W20" s="58"/>
      <c r="X20" s="58"/>
      <c r="Y20" s="58"/>
      <c r="Z20" s="58"/>
      <c r="AA20" s="58"/>
      <c r="AB20" s="58"/>
      <c r="AC20" s="72"/>
      <c r="AD20" s="117">
        <f>AVERAGE(B20:AB20)</f>
        <v>0</v>
      </c>
      <c r="AF20" s="1">
        <f>COUNT(B20:AB20)</f>
        <v>1</v>
      </c>
    </row>
    <row r="21" spans="1:32" ht="13.5" x14ac:dyDescent="0.25">
      <c r="A21" s="13" t="s">
        <v>99</v>
      </c>
      <c r="B21" s="59"/>
      <c r="C21" s="59"/>
      <c r="D21" s="59"/>
      <c r="E21" s="59"/>
      <c r="F21" s="59"/>
      <c r="G21" s="59"/>
      <c r="H21" s="59"/>
      <c r="I21" s="59"/>
      <c r="J21" s="59"/>
      <c r="K21" s="59"/>
      <c r="L21" s="109"/>
      <c r="M21" s="59"/>
      <c r="N21" s="59"/>
      <c r="O21" s="59"/>
      <c r="P21" s="59"/>
      <c r="Q21" s="59"/>
      <c r="R21" s="59"/>
      <c r="S21" s="59"/>
      <c r="T21" s="59"/>
      <c r="U21" s="59"/>
      <c r="V21" s="59"/>
      <c r="W21" s="59"/>
      <c r="X21" s="59"/>
      <c r="Y21" s="59"/>
      <c r="Z21" s="59"/>
      <c r="AA21" s="59"/>
      <c r="AB21" s="59"/>
      <c r="AC21" s="72"/>
      <c r="AD21" s="72"/>
    </row>
    <row r="22" spans="1:32" ht="13.5" x14ac:dyDescent="0.25">
      <c r="A22" s="13" t="s">
        <v>100</v>
      </c>
      <c r="B22" s="58">
        <v>5475489</v>
      </c>
      <c r="C22" s="58">
        <v>8913086</v>
      </c>
      <c r="D22" s="58">
        <v>4608198</v>
      </c>
      <c r="E22" s="58">
        <v>7101960</v>
      </c>
      <c r="F22" s="58">
        <v>9009719</v>
      </c>
      <c r="G22" s="58">
        <v>5234050</v>
      </c>
      <c r="H22" s="58">
        <v>3440559</v>
      </c>
      <c r="I22" s="58">
        <v>8814310</v>
      </c>
      <c r="J22" s="58">
        <v>1129013</v>
      </c>
      <c r="K22" s="58">
        <v>6153000</v>
      </c>
      <c r="L22" s="108">
        <v>5957223</v>
      </c>
      <c r="M22" s="58">
        <v>11003485</v>
      </c>
      <c r="N22" s="115">
        <v>10213961</v>
      </c>
      <c r="O22" s="58">
        <v>18443043</v>
      </c>
      <c r="P22" s="58">
        <v>1264504</v>
      </c>
      <c r="Q22" s="58">
        <v>5402858</v>
      </c>
      <c r="R22" s="58">
        <v>4613097</v>
      </c>
      <c r="S22" s="58">
        <v>362318.64</v>
      </c>
      <c r="T22" s="58">
        <v>4558057</v>
      </c>
      <c r="U22" s="58">
        <v>4137000</v>
      </c>
      <c r="V22" s="58">
        <v>3401713</v>
      </c>
      <c r="W22" s="58">
        <v>3279498</v>
      </c>
      <c r="X22" s="58">
        <v>4570790</v>
      </c>
      <c r="Y22" s="58">
        <v>5065079</v>
      </c>
      <c r="Z22" s="58">
        <v>2097451</v>
      </c>
      <c r="AA22" s="58">
        <v>3567244</v>
      </c>
      <c r="AB22" s="58">
        <v>4625728</v>
      </c>
      <c r="AC22" s="72"/>
      <c r="AD22" s="117">
        <f>AVERAGE(B22:AB22)</f>
        <v>5646016.06074074</v>
      </c>
      <c r="AF22" s="1">
        <f>COUNT(B22:AB22)</f>
        <v>27</v>
      </c>
    </row>
    <row r="23" spans="1:32" ht="13.5" x14ac:dyDescent="0.25">
      <c r="A23" s="13" t="s">
        <v>101</v>
      </c>
      <c r="B23" s="58"/>
      <c r="C23" s="58"/>
      <c r="D23" s="58">
        <v>7836102</v>
      </c>
      <c r="E23" s="58">
        <v>117051</v>
      </c>
      <c r="F23" s="58">
        <v>5713932</v>
      </c>
      <c r="G23" s="58"/>
      <c r="H23" s="58">
        <v>733956</v>
      </c>
      <c r="I23" s="58"/>
      <c r="J23" s="58">
        <v>2017358</v>
      </c>
      <c r="K23" s="58">
        <v>5765000</v>
      </c>
      <c r="L23" s="108">
        <v>5073568</v>
      </c>
      <c r="M23" s="58">
        <v>5820867</v>
      </c>
      <c r="N23" s="115">
        <v>1189701</v>
      </c>
      <c r="O23" s="58">
        <v>1977798</v>
      </c>
      <c r="P23" s="58"/>
      <c r="Q23" s="58">
        <v>4974453</v>
      </c>
      <c r="R23" s="58"/>
      <c r="S23" s="58"/>
      <c r="T23" s="132" t="s">
        <v>265</v>
      </c>
      <c r="U23" s="58">
        <v>34000</v>
      </c>
      <c r="V23" s="58"/>
      <c r="W23" s="58">
        <v>2222388</v>
      </c>
      <c r="X23" s="58"/>
      <c r="Y23" s="58">
        <v>3211364</v>
      </c>
      <c r="Z23" s="58"/>
      <c r="AA23" s="58"/>
      <c r="AB23" s="58"/>
      <c r="AC23" s="72"/>
      <c r="AD23" s="117">
        <f>AVERAGE(B23:AB23)</f>
        <v>3334824.1428571427</v>
      </c>
      <c r="AF23" s="1">
        <f>COUNT(B23:AB23)</f>
        <v>14</v>
      </c>
    </row>
    <row r="24" spans="1:32" ht="13.5" x14ac:dyDescent="0.25">
      <c r="A24" s="13" t="s">
        <v>102</v>
      </c>
      <c r="B24" s="58"/>
      <c r="C24" s="58"/>
      <c r="D24" s="58"/>
      <c r="E24" s="58"/>
      <c r="F24" s="58"/>
      <c r="G24" s="58"/>
      <c r="H24" s="58"/>
      <c r="I24" s="58"/>
      <c r="J24" s="58"/>
      <c r="K24" s="58"/>
      <c r="L24" s="108"/>
      <c r="M24" s="58"/>
      <c r="N24" s="115">
        <v>50003</v>
      </c>
      <c r="O24" s="58">
        <v>0</v>
      </c>
      <c r="P24" s="58"/>
      <c r="Q24" s="58"/>
      <c r="R24" s="58"/>
      <c r="S24" s="58"/>
      <c r="T24" s="132" t="s">
        <v>265</v>
      </c>
      <c r="U24" s="58"/>
      <c r="V24" s="58"/>
      <c r="W24" s="58">
        <v>44297</v>
      </c>
      <c r="X24" s="58"/>
      <c r="Y24" s="58">
        <v>308291</v>
      </c>
      <c r="Z24" s="58"/>
      <c r="AA24" s="58"/>
      <c r="AB24" s="58"/>
      <c r="AC24" s="72"/>
      <c r="AD24" s="117">
        <f>AVERAGE(B24:AB24)</f>
        <v>100647.75</v>
      </c>
      <c r="AF24" s="1">
        <f>COUNT(B24:AB24)</f>
        <v>4</v>
      </c>
    </row>
    <row r="25" spans="1:32" ht="13.5" x14ac:dyDescent="0.25">
      <c r="A25" s="74" t="s">
        <v>103</v>
      </c>
      <c r="B25" s="58">
        <v>46753556</v>
      </c>
      <c r="C25" s="58">
        <v>29618997</v>
      </c>
      <c r="D25" s="58">
        <v>15045058</v>
      </c>
      <c r="E25" s="58">
        <v>39914683</v>
      </c>
      <c r="F25" s="58">
        <v>37906938</v>
      </c>
      <c r="G25" s="58">
        <v>14290618</v>
      </c>
      <c r="H25" s="58">
        <v>22518574</v>
      </c>
      <c r="I25" s="58">
        <v>38861076</v>
      </c>
      <c r="J25" s="58">
        <v>19602758</v>
      </c>
      <c r="K25" s="58">
        <v>44918000</v>
      </c>
      <c r="L25" s="108">
        <v>23377100</v>
      </c>
      <c r="M25" s="58">
        <v>69299017</v>
      </c>
      <c r="N25" s="115">
        <v>28151758</v>
      </c>
      <c r="O25" s="58">
        <v>55305333</v>
      </c>
      <c r="P25" s="58">
        <v>20051621</v>
      </c>
      <c r="Q25" s="58">
        <v>54149368</v>
      </c>
      <c r="R25" s="58">
        <v>53425056</v>
      </c>
      <c r="S25" s="58">
        <f>SUM(S22:S24)</f>
        <v>362318.64</v>
      </c>
      <c r="T25" s="58">
        <v>45428112</v>
      </c>
      <c r="U25" s="58">
        <v>14672000</v>
      </c>
      <c r="V25" s="58">
        <v>24800514</v>
      </c>
      <c r="W25" s="58">
        <v>25016406</v>
      </c>
      <c r="X25" s="58">
        <v>23092602</v>
      </c>
      <c r="Y25" s="58">
        <v>48239674</v>
      </c>
      <c r="Z25" s="58">
        <v>9566902</v>
      </c>
      <c r="AA25" s="58">
        <v>24818458</v>
      </c>
      <c r="AB25" s="58">
        <v>21851918</v>
      </c>
      <c r="AC25" s="72"/>
      <c r="AD25" s="117">
        <f>AVERAGE(B25:AB25)</f>
        <v>31519941.32</v>
      </c>
      <c r="AF25" s="1">
        <f>COUNT(B25:AB25)</f>
        <v>27</v>
      </c>
    </row>
    <row r="26" spans="1:32" ht="11.25" customHeight="1" x14ac:dyDescent="0.25">
      <c r="A26" s="9"/>
      <c r="B26" s="59"/>
      <c r="C26" s="59"/>
      <c r="D26" s="59"/>
      <c r="E26" s="59"/>
      <c r="F26" s="59"/>
      <c r="G26" s="59"/>
      <c r="H26" s="59"/>
      <c r="I26" s="59"/>
      <c r="J26" s="59"/>
      <c r="K26" s="59"/>
      <c r="L26" s="109"/>
      <c r="M26" s="59"/>
      <c r="N26" s="59"/>
      <c r="O26" s="59"/>
      <c r="P26" s="59"/>
      <c r="Q26" s="59"/>
      <c r="R26" s="59"/>
      <c r="S26" s="59"/>
      <c r="T26" s="59"/>
      <c r="U26" s="59"/>
      <c r="V26" s="59"/>
      <c r="W26" s="59"/>
      <c r="X26" s="59"/>
      <c r="Y26" s="59"/>
      <c r="Z26" s="59"/>
      <c r="AA26" s="59"/>
      <c r="AB26" s="59"/>
      <c r="AC26" s="72"/>
      <c r="AD26" s="72"/>
    </row>
    <row r="27" spans="1:32" ht="45" customHeight="1" x14ac:dyDescent="0.25">
      <c r="A27" s="20" t="s">
        <v>179</v>
      </c>
      <c r="B27" s="59"/>
      <c r="C27" s="59"/>
      <c r="D27" s="59"/>
      <c r="E27" s="59"/>
      <c r="F27" s="59"/>
      <c r="G27" s="59"/>
      <c r="H27" s="59"/>
      <c r="I27" s="59"/>
      <c r="J27" s="59"/>
      <c r="K27" s="59"/>
      <c r="L27" s="109"/>
      <c r="M27" s="59"/>
      <c r="N27" s="59"/>
      <c r="O27" s="59"/>
      <c r="P27" s="59"/>
      <c r="Q27" s="59"/>
      <c r="R27" s="59"/>
      <c r="S27" s="59"/>
      <c r="T27" s="59"/>
      <c r="U27" s="59"/>
      <c r="V27" s="59"/>
      <c r="W27" s="59"/>
      <c r="X27" s="59"/>
      <c r="Y27" s="59"/>
      <c r="Z27" s="59"/>
      <c r="AA27" s="59"/>
      <c r="AB27" s="59"/>
      <c r="AC27" s="72"/>
      <c r="AD27" s="72"/>
    </row>
    <row r="28" spans="1:32" s="22" customFormat="1" ht="12.75" customHeight="1" x14ac:dyDescent="0.25">
      <c r="A28" s="13" t="s">
        <v>104</v>
      </c>
      <c r="B28" s="58">
        <v>41673221</v>
      </c>
      <c r="C28" s="58">
        <v>38020944</v>
      </c>
      <c r="D28" s="58">
        <v>19823971</v>
      </c>
      <c r="E28" s="58">
        <v>45826897</v>
      </c>
      <c r="F28" s="58">
        <v>20529445</v>
      </c>
      <c r="G28" s="58">
        <v>41826979</v>
      </c>
      <c r="H28" s="58">
        <v>14501998</v>
      </c>
      <c r="I28" s="58">
        <v>38761071</v>
      </c>
      <c r="J28" s="58">
        <v>11349306</v>
      </c>
      <c r="K28" s="58">
        <v>50427000</v>
      </c>
      <c r="L28" s="108">
        <v>22839461</v>
      </c>
      <c r="M28" s="58">
        <v>55572889</v>
      </c>
      <c r="N28" s="115">
        <v>35041521</v>
      </c>
      <c r="O28" s="58">
        <v>33167075</v>
      </c>
      <c r="P28" s="58">
        <v>28348720</v>
      </c>
      <c r="Q28" s="58">
        <v>53052383</v>
      </c>
      <c r="R28" s="58">
        <v>44515159</v>
      </c>
      <c r="S28" s="58">
        <v>5487400</v>
      </c>
      <c r="T28" s="58">
        <v>35341389</v>
      </c>
      <c r="U28" s="58">
        <v>18826000</v>
      </c>
      <c r="V28" s="58">
        <v>30816560</v>
      </c>
      <c r="W28" s="58">
        <v>14955536</v>
      </c>
      <c r="X28" s="58">
        <v>19664512</v>
      </c>
      <c r="Y28" s="58">
        <v>24965728</v>
      </c>
      <c r="Z28" s="58">
        <v>6558257</v>
      </c>
      <c r="AA28" s="58">
        <v>11213427</v>
      </c>
      <c r="AB28" s="58">
        <v>17700141</v>
      </c>
      <c r="AC28" s="72"/>
      <c r="AD28" s="117">
        <f t="shared" ref="AD28:AD36" si="2">AVERAGE(B28:AB28)</f>
        <v>28918777.407407407</v>
      </c>
      <c r="AF28" s="22">
        <f t="shared" ref="AF28:AF36" si="3">COUNT(B28:AB28)</f>
        <v>27</v>
      </c>
    </row>
    <row r="29" spans="1:32" ht="12.75" customHeight="1" x14ac:dyDescent="0.25">
      <c r="A29" s="13" t="s">
        <v>105</v>
      </c>
      <c r="B29" s="58">
        <v>133305</v>
      </c>
      <c r="C29" s="58">
        <v>153832</v>
      </c>
      <c r="D29" s="58">
        <v>678899</v>
      </c>
      <c r="E29" s="58">
        <v>388811</v>
      </c>
      <c r="F29" s="58">
        <v>454922</v>
      </c>
      <c r="G29" s="58">
        <v>2695685</v>
      </c>
      <c r="H29" s="58"/>
      <c r="I29" s="58">
        <v>1104713</v>
      </c>
      <c r="J29" s="58">
        <v>1199209</v>
      </c>
      <c r="K29" s="58">
        <v>39000</v>
      </c>
      <c r="L29" s="108">
        <v>2622</v>
      </c>
      <c r="M29" s="58">
        <v>1470453</v>
      </c>
      <c r="N29" s="115">
        <v>1010716</v>
      </c>
      <c r="O29" s="58">
        <v>177792</v>
      </c>
      <c r="P29" s="58">
        <v>344962</v>
      </c>
      <c r="Q29" s="58">
        <v>1373482</v>
      </c>
      <c r="R29" s="58">
        <v>945853</v>
      </c>
      <c r="S29" s="58">
        <v>3698723</v>
      </c>
      <c r="T29" s="58">
        <v>2352808</v>
      </c>
      <c r="U29" s="58">
        <v>732000</v>
      </c>
      <c r="V29" s="58">
        <v>381572</v>
      </c>
      <c r="W29" s="58">
        <v>1148954</v>
      </c>
      <c r="X29" s="58">
        <v>33531</v>
      </c>
      <c r="Y29" s="58">
        <v>2078950</v>
      </c>
      <c r="Z29" s="58">
        <v>221426</v>
      </c>
      <c r="AA29" s="58">
        <v>167182</v>
      </c>
      <c r="AB29" s="58">
        <v>2944497</v>
      </c>
      <c r="AC29" s="72"/>
      <c r="AD29" s="117">
        <f t="shared" si="2"/>
        <v>997457.65384615387</v>
      </c>
      <c r="AF29" s="1">
        <f t="shared" si="3"/>
        <v>26</v>
      </c>
    </row>
    <row r="30" spans="1:32" ht="13.5" x14ac:dyDescent="0.25">
      <c r="A30" s="13" t="s">
        <v>106</v>
      </c>
      <c r="B30" s="58">
        <v>3072522</v>
      </c>
      <c r="C30" s="58">
        <v>2292580</v>
      </c>
      <c r="D30" s="58">
        <v>1389589</v>
      </c>
      <c r="E30" s="58">
        <v>731569</v>
      </c>
      <c r="F30" s="58">
        <v>517921</v>
      </c>
      <c r="G30" s="58"/>
      <c r="H30" s="58">
        <v>6706</v>
      </c>
      <c r="I30" s="58">
        <v>1210625</v>
      </c>
      <c r="J30" s="58"/>
      <c r="K30" s="58"/>
      <c r="L30" s="108">
        <v>390871</v>
      </c>
      <c r="M30" s="58">
        <v>12251229</v>
      </c>
      <c r="N30" s="115">
        <v>3467926</v>
      </c>
      <c r="O30" s="58">
        <v>16281971</v>
      </c>
      <c r="P30" s="58">
        <v>180995</v>
      </c>
      <c r="Q30" s="58">
        <v>1420907</v>
      </c>
      <c r="R30" s="58">
        <v>2382782</v>
      </c>
      <c r="S30" s="58">
        <v>2194960</v>
      </c>
      <c r="T30" s="58">
        <v>11395616</v>
      </c>
      <c r="U30" s="58">
        <v>864000</v>
      </c>
      <c r="V30" s="58">
        <v>865560</v>
      </c>
      <c r="W30" s="58">
        <v>768348</v>
      </c>
      <c r="X30" s="58">
        <v>478133</v>
      </c>
      <c r="Y30" s="58">
        <v>1836838</v>
      </c>
      <c r="Z30" s="58">
        <v>5071</v>
      </c>
      <c r="AA30" s="58">
        <v>1143424</v>
      </c>
      <c r="AB30" s="58">
        <v>1729421</v>
      </c>
      <c r="AC30" s="72"/>
      <c r="AD30" s="117">
        <f t="shared" si="2"/>
        <v>2786648.5</v>
      </c>
      <c r="AF30" s="1">
        <f t="shared" si="3"/>
        <v>24</v>
      </c>
    </row>
    <row r="31" spans="1:32" ht="13.5" x14ac:dyDescent="0.25">
      <c r="A31" s="13" t="s">
        <v>107</v>
      </c>
      <c r="B31" s="58">
        <v>12596463</v>
      </c>
      <c r="C31" s="58">
        <v>9057350</v>
      </c>
      <c r="D31" s="58">
        <v>7997116</v>
      </c>
      <c r="E31" s="58">
        <v>14025297</v>
      </c>
      <c r="F31" s="58">
        <v>3401293</v>
      </c>
      <c r="G31" s="58">
        <v>9532221</v>
      </c>
      <c r="H31" s="58">
        <v>4103936</v>
      </c>
      <c r="I31" s="58">
        <v>6998846</v>
      </c>
      <c r="J31" s="58">
        <v>2993271</v>
      </c>
      <c r="K31" s="58">
        <v>6772000</v>
      </c>
      <c r="L31" s="108">
        <v>5133415</v>
      </c>
      <c r="M31" s="58">
        <v>17472296</v>
      </c>
      <c r="N31" s="115">
        <v>8111620</v>
      </c>
      <c r="O31" s="58">
        <v>10610983</v>
      </c>
      <c r="P31" s="58">
        <v>3325995</v>
      </c>
      <c r="Q31" s="58">
        <v>6683370</v>
      </c>
      <c r="R31" s="58">
        <v>6554257</v>
      </c>
      <c r="S31" s="58">
        <v>4239534</v>
      </c>
      <c r="T31" s="58">
        <v>11002419</v>
      </c>
      <c r="U31" s="58">
        <v>4448000</v>
      </c>
      <c r="V31" s="58">
        <v>11600911</v>
      </c>
      <c r="W31" s="58">
        <v>5786305</v>
      </c>
      <c r="X31" s="58">
        <v>5679094</v>
      </c>
      <c r="Y31" s="58">
        <v>4453447</v>
      </c>
      <c r="Z31" s="58">
        <v>1144314</v>
      </c>
      <c r="AA31" s="58">
        <v>4322207</v>
      </c>
      <c r="AB31" s="58">
        <v>5905851</v>
      </c>
      <c r="AC31" s="72"/>
      <c r="AD31" s="117">
        <f t="shared" si="2"/>
        <v>7183400.4074074076</v>
      </c>
      <c r="AF31" s="1">
        <f t="shared" si="3"/>
        <v>27</v>
      </c>
    </row>
    <row r="32" spans="1:32" ht="13.5" x14ac:dyDescent="0.25">
      <c r="A32" s="13" t="s">
        <v>108</v>
      </c>
      <c r="B32" s="58">
        <v>12853444</v>
      </c>
      <c r="C32" s="58">
        <v>7261676</v>
      </c>
      <c r="D32" s="58">
        <v>7717132</v>
      </c>
      <c r="E32" s="58">
        <v>12124668</v>
      </c>
      <c r="F32" s="58">
        <v>4704063</v>
      </c>
      <c r="G32" s="58">
        <v>9206304</v>
      </c>
      <c r="H32" s="58">
        <v>6139767</v>
      </c>
      <c r="I32" s="58">
        <v>13396386</v>
      </c>
      <c r="J32" s="58">
        <v>4248712</v>
      </c>
      <c r="K32" s="58">
        <v>16612000</v>
      </c>
      <c r="L32" s="108">
        <v>5270915</v>
      </c>
      <c r="M32" s="58">
        <v>19873707</v>
      </c>
      <c r="N32" s="115">
        <v>5477322</v>
      </c>
      <c r="O32" s="58">
        <v>13634279</v>
      </c>
      <c r="P32" s="58">
        <v>8024101</v>
      </c>
      <c r="Q32" s="58">
        <v>8357653</v>
      </c>
      <c r="R32" s="58">
        <v>9876997</v>
      </c>
      <c r="S32" s="58"/>
      <c r="T32" s="58">
        <v>9452670</v>
      </c>
      <c r="U32" s="58">
        <v>5018000</v>
      </c>
      <c r="V32" s="58">
        <v>6369575</v>
      </c>
      <c r="W32" s="58">
        <v>4897263</v>
      </c>
      <c r="X32" s="58">
        <v>7680533</v>
      </c>
      <c r="Y32" s="58">
        <v>4250640</v>
      </c>
      <c r="Z32" s="58">
        <v>1287007</v>
      </c>
      <c r="AA32" s="58">
        <v>2812644</v>
      </c>
      <c r="AB32" s="58">
        <v>9763443</v>
      </c>
      <c r="AC32" s="72"/>
      <c r="AD32" s="117">
        <f t="shared" si="2"/>
        <v>8319650.038461538</v>
      </c>
      <c r="AF32" s="1">
        <f t="shared" si="3"/>
        <v>26</v>
      </c>
    </row>
    <row r="33" spans="1:32" ht="12.75" customHeight="1" x14ac:dyDescent="0.25">
      <c r="A33" s="13" t="s">
        <v>109</v>
      </c>
      <c r="B33" s="58">
        <v>21168091</v>
      </c>
      <c r="C33" s="58">
        <v>12514053</v>
      </c>
      <c r="D33" s="58">
        <v>6098791</v>
      </c>
      <c r="E33" s="58">
        <v>13992712</v>
      </c>
      <c r="F33" s="58">
        <v>8293037</v>
      </c>
      <c r="G33" s="58">
        <v>11139713</v>
      </c>
      <c r="H33" s="58">
        <v>6709722</v>
      </c>
      <c r="I33" s="58">
        <v>8961081</v>
      </c>
      <c r="J33" s="58">
        <v>6895675</v>
      </c>
      <c r="K33" s="58">
        <v>17975000</v>
      </c>
      <c r="L33" s="108">
        <v>7783137</v>
      </c>
      <c r="M33" s="58">
        <v>16704115</v>
      </c>
      <c r="N33" s="115">
        <v>6602586</v>
      </c>
      <c r="O33" s="58">
        <v>22497189</v>
      </c>
      <c r="P33" s="58">
        <v>14475094</v>
      </c>
      <c r="Q33" s="58">
        <v>16414090</v>
      </c>
      <c r="R33" s="58">
        <v>6108667</v>
      </c>
      <c r="S33" s="58">
        <v>2723072</v>
      </c>
      <c r="T33" s="58">
        <v>11047244</v>
      </c>
      <c r="U33" s="58">
        <v>3124000</v>
      </c>
      <c r="V33" s="58">
        <v>11228493</v>
      </c>
      <c r="W33" s="58">
        <v>4135406</v>
      </c>
      <c r="X33" s="58">
        <v>6800272</v>
      </c>
      <c r="Y33" s="58">
        <v>9193696</v>
      </c>
      <c r="Z33" s="58">
        <v>3052632</v>
      </c>
      <c r="AA33" s="58">
        <v>5484772</v>
      </c>
      <c r="AB33" s="58">
        <v>5654292</v>
      </c>
      <c r="AC33" s="72"/>
      <c r="AD33" s="117">
        <f t="shared" si="2"/>
        <v>9880616</v>
      </c>
      <c r="AF33" s="1">
        <f t="shared" si="3"/>
        <v>27</v>
      </c>
    </row>
    <row r="34" spans="1:32" ht="12.75" customHeight="1" x14ac:dyDescent="0.25">
      <c r="A34" s="13" t="s">
        <v>185</v>
      </c>
      <c r="B34" s="58">
        <v>7274293</v>
      </c>
      <c r="C34" s="58">
        <v>13953441</v>
      </c>
      <c r="D34" s="58">
        <v>1716741</v>
      </c>
      <c r="E34" s="58">
        <v>20291022</v>
      </c>
      <c r="F34" s="58">
        <v>5403830</v>
      </c>
      <c r="G34" s="58"/>
      <c r="H34" s="58">
        <v>706902</v>
      </c>
      <c r="I34" s="58">
        <v>8537610</v>
      </c>
      <c r="J34" s="58">
        <v>1273314</v>
      </c>
      <c r="K34" s="58">
        <v>764000</v>
      </c>
      <c r="L34" s="108">
        <v>2691849</v>
      </c>
      <c r="M34" s="115">
        <v>12132584</v>
      </c>
      <c r="N34" s="115">
        <v>6831062</v>
      </c>
      <c r="O34" s="58">
        <v>6195789</v>
      </c>
      <c r="P34" s="58">
        <v>1897241</v>
      </c>
      <c r="Q34" s="58">
        <v>2997163</v>
      </c>
      <c r="R34" s="58">
        <v>849016</v>
      </c>
      <c r="S34" s="58">
        <v>249126</v>
      </c>
      <c r="T34" s="58">
        <v>2962614</v>
      </c>
      <c r="U34" s="58">
        <v>2115000</v>
      </c>
      <c r="V34" s="58"/>
      <c r="W34" s="58">
        <v>1113022</v>
      </c>
      <c r="X34" s="58">
        <v>3846891</v>
      </c>
      <c r="Y34" s="58">
        <v>5857191</v>
      </c>
      <c r="Z34" s="58">
        <v>4604302</v>
      </c>
      <c r="AA34" s="58">
        <v>4958848</v>
      </c>
      <c r="AB34" s="58">
        <v>702102</v>
      </c>
      <c r="AC34" s="72"/>
      <c r="AD34" s="117">
        <f t="shared" si="2"/>
        <v>4796998.12</v>
      </c>
      <c r="AF34" s="1">
        <f t="shared" si="3"/>
        <v>25</v>
      </c>
    </row>
    <row r="35" spans="1:32" ht="12.75" customHeight="1" x14ac:dyDescent="0.25">
      <c r="A35" s="13" t="s">
        <v>186</v>
      </c>
      <c r="B35" s="58">
        <v>14852942</v>
      </c>
      <c r="C35" s="58">
        <v>12822299</v>
      </c>
      <c r="D35" s="58">
        <v>14862797</v>
      </c>
      <c r="E35" s="58">
        <v>27052493</v>
      </c>
      <c r="F35" s="58">
        <v>10902695</v>
      </c>
      <c r="G35" s="58">
        <v>34617297</v>
      </c>
      <c r="H35" s="58">
        <v>7889406</v>
      </c>
      <c r="I35" s="58">
        <v>5833994</v>
      </c>
      <c r="J35" s="58">
        <v>6461931</v>
      </c>
      <c r="K35" s="58">
        <v>38292000</v>
      </c>
      <c r="L35" s="108">
        <v>17837018</v>
      </c>
      <c r="M35" s="58">
        <v>16644662</v>
      </c>
      <c r="N35" s="115">
        <v>19663757</v>
      </c>
      <c r="O35" s="58">
        <v>8891694</v>
      </c>
      <c r="P35" s="58">
        <v>12098134</v>
      </c>
      <c r="Q35" s="58">
        <v>34644102</v>
      </c>
      <c r="R35" s="58">
        <v>25547958</v>
      </c>
      <c r="S35" s="58">
        <v>3074975.71</v>
      </c>
      <c r="T35" s="58">
        <v>14652773</v>
      </c>
      <c r="U35" s="58">
        <v>8616000</v>
      </c>
      <c r="V35" s="58">
        <v>33325583</v>
      </c>
      <c r="W35" s="58">
        <v>10272792</v>
      </c>
      <c r="X35" s="58">
        <v>3839865</v>
      </c>
      <c r="Y35" s="58">
        <v>12810378</v>
      </c>
      <c r="Z35" s="58">
        <v>17087445</v>
      </c>
      <c r="AA35" s="58">
        <v>9174686</v>
      </c>
      <c r="AB35" s="58">
        <v>8476705</v>
      </c>
      <c r="AC35" s="72"/>
      <c r="AD35" s="117">
        <f t="shared" si="2"/>
        <v>15935051.174444444</v>
      </c>
      <c r="AF35" s="1">
        <f t="shared" si="3"/>
        <v>27</v>
      </c>
    </row>
    <row r="36" spans="1:32" ht="13.5" customHeight="1" x14ac:dyDescent="0.25">
      <c r="A36" s="74" t="s">
        <v>187</v>
      </c>
      <c r="B36" s="58">
        <v>113624281</v>
      </c>
      <c r="C36" s="58">
        <v>96076175</v>
      </c>
      <c r="D36" s="58">
        <v>60285036</v>
      </c>
      <c r="E36" s="58">
        <v>134433469</v>
      </c>
      <c r="F36" s="58">
        <v>54207207</v>
      </c>
      <c r="G36" s="58">
        <v>109018235</v>
      </c>
      <c r="H36" s="58">
        <v>40058437</v>
      </c>
      <c r="I36" s="58">
        <v>85739986</v>
      </c>
      <c r="J36" s="58">
        <v>34951588</v>
      </c>
      <c r="K36" s="58">
        <v>131235000</v>
      </c>
      <c r="L36" s="108">
        <v>62365956</v>
      </c>
      <c r="M36" s="58">
        <v>152121935</v>
      </c>
      <c r="N36" s="115">
        <v>87360769</v>
      </c>
      <c r="O36" s="58">
        <v>112439539</v>
      </c>
      <c r="P36" s="58">
        <v>68695202</v>
      </c>
      <c r="Q36" s="58">
        <v>127543044</v>
      </c>
      <c r="R36" s="58">
        <v>96843894</v>
      </c>
      <c r="S36" s="58">
        <f>SUM(S28:S35)</f>
        <v>21667790.710000001</v>
      </c>
      <c r="T36" s="58">
        <v>98207533</v>
      </c>
      <c r="U36" s="58">
        <v>43743000</v>
      </c>
      <c r="V36" s="58">
        <v>95769608</v>
      </c>
      <c r="W36" s="58">
        <v>47080906</v>
      </c>
      <c r="X36" s="58">
        <v>56129101</v>
      </c>
      <c r="Y36" s="58">
        <v>81003382</v>
      </c>
      <c r="Z36" s="58"/>
      <c r="AA36" s="58">
        <v>40639058</v>
      </c>
      <c r="AB36" s="58">
        <v>72140248</v>
      </c>
      <c r="AC36" s="72"/>
      <c r="AD36" s="117">
        <f t="shared" si="2"/>
        <v>81668476.142692313</v>
      </c>
      <c r="AF36" s="1">
        <f t="shared" si="3"/>
        <v>26</v>
      </c>
    </row>
    <row r="37" spans="1:32" s="38" customFormat="1" ht="11.25" customHeight="1" x14ac:dyDescent="0.25">
      <c r="A37" s="9"/>
      <c r="B37" s="59"/>
      <c r="C37" s="59"/>
      <c r="D37" s="59"/>
      <c r="E37" s="59"/>
      <c r="F37" s="59"/>
      <c r="G37" s="59"/>
      <c r="H37" s="59"/>
      <c r="I37" s="59"/>
      <c r="J37" s="59"/>
      <c r="K37" s="59"/>
      <c r="L37" s="109"/>
      <c r="M37" s="59"/>
      <c r="N37" s="59"/>
      <c r="O37" s="59"/>
      <c r="P37" s="59"/>
      <c r="Q37" s="59"/>
      <c r="R37" s="59"/>
      <c r="S37" s="59"/>
      <c r="T37" s="59"/>
      <c r="U37" s="59"/>
      <c r="V37" s="59"/>
      <c r="W37" s="59"/>
      <c r="X37" s="59"/>
      <c r="Y37" s="59"/>
      <c r="Z37" s="59"/>
      <c r="AA37" s="59"/>
      <c r="AB37" s="59"/>
      <c r="AC37" s="72"/>
      <c r="AD37" s="72"/>
    </row>
    <row r="38" spans="1:32" s="38" customFormat="1" ht="13.5" x14ac:dyDescent="0.25">
      <c r="A38" s="11" t="s">
        <v>180</v>
      </c>
      <c r="B38" s="59"/>
      <c r="C38" s="59"/>
      <c r="D38" s="59"/>
      <c r="E38" s="59"/>
      <c r="F38" s="59"/>
      <c r="G38" s="59"/>
      <c r="H38" s="59"/>
      <c r="I38" s="59"/>
      <c r="J38" s="59"/>
      <c r="K38" s="59"/>
      <c r="L38" s="109"/>
      <c r="M38" s="59"/>
      <c r="N38" s="59"/>
      <c r="O38" s="59"/>
      <c r="P38" s="59"/>
      <c r="Q38" s="59"/>
      <c r="R38" s="59"/>
      <c r="S38" s="59"/>
      <c r="T38" s="59"/>
      <c r="U38" s="59"/>
      <c r="V38" s="59"/>
      <c r="W38" s="59"/>
      <c r="X38" s="59"/>
      <c r="Y38" s="59"/>
      <c r="Z38" s="59"/>
      <c r="AA38" s="59"/>
      <c r="AB38" s="59"/>
      <c r="AC38" s="72"/>
      <c r="AD38" s="72"/>
    </row>
    <row r="39" spans="1:32" s="38" customFormat="1" ht="12.75" customHeight="1" x14ac:dyDescent="0.25">
      <c r="A39" s="73" t="s">
        <v>144</v>
      </c>
      <c r="B39" s="58">
        <v>3234337.68</v>
      </c>
      <c r="C39" s="58">
        <v>293859</v>
      </c>
      <c r="D39" s="58">
        <v>2344868</v>
      </c>
      <c r="E39" s="58">
        <v>1569771.09</v>
      </c>
      <c r="F39" s="58">
        <v>243473</v>
      </c>
      <c r="G39" s="58">
        <v>320532</v>
      </c>
      <c r="H39" s="145">
        <v>139735</v>
      </c>
      <c r="I39" s="58">
        <v>214058</v>
      </c>
      <c r="J39" s="200">
        <v>1252330</v>
      </c>
      <c r="K39" s="58"/>
      <c r="L39" s="108">
        <v>81504.25</v>
      </c>
      <c r="M39" s="58">
        <v>53292</v>
      </c>
      <c r="N39" s="115">
        <v>1092008</v>
      </c>
      <c r="O39" s="75"/>
      <c r="P39" s="115">
        <v>857395.66</v>
      </c>
      <c r="Q39" s="58">
        <v>1696442</v>
      </c>
      <c r="R39" s="58">
        <v>1021010</v>
      </c>
      <c r="S39" s="58">
        <v>306813</v>
      </c>
      <c r="T39" s="58">
        <v>1251376</v>
      </c>
      <c r="U39" s="58">
        <v>149657</v>
      </c>
      <c r="V39" s="115">
        <v>1905990</v>
      </c>
      <c r="W39" s="115">
        <v>472815</v>
      </c>
      <c r="X39" s="58">
        <v>628532</v>
      </c>
      <c r="Y39" s="115">
        <v>1076077</v>
      </c>
      <c r="Z39" s="75">
        <v>1369199</v>
      </c>
      <c r="AA39" s="58">
        <v>306000</v>
      </c>
      <c r="AB39" s="58">
        <v>1227437</v>
      </c>
      <c r="AC39" s="72"/>
      <c r="AD39" s="165">
        <f t="shared" ref="AD39:AD44" si="4">AVERAGE(B39:AB39)</f>
        <v>924340.46719999996</v>
      </c>
      <c r="AF39" s="38">
        <f t="shared" ref="AF39:AF44" si="5">COUNT(B39:AB39)</f>
        <v>25</v>
      </c>
    </row>
    <row r="40" spans="1:32" s="38" customFormat="1" ht="13.5" x14ac:dyDescent="0.25">
      <c r="A40" s="73" t="s">
        <v>145</v>
      </c>
      <c r="B40" s="17">
        <v>7.7700000000000005E-2</v>
      </c>
      <c r="C40" s="17">
        <v>0.04</v>
      </c>
      <c r="D40" s="17">
        <v>1.4999999999999999E-2</v>
      </c>
      <c r="E40" s="17">
        <v>7.0000000000000007E-2</v>
      </c>
      <c r="F40" s="17">
        <v>2.7400000000000001E-2</v>
      </c>
      <c r="G40" s="17">
        <v>0.08</v>
      </c>
      <c r="H40" s="123">
        <v>0.104</v>
      </c>
      <c r="I40" s="17">
        <v>7.0000000000000007E-2</v>
      </c>
      <c r="J40" s="201">
        <v>0.20699999999999999</v>
      </c>
      <c r="K40" s="17"/>
      <c r="L40" s="134">
        <v>3.27E-2</v>
      </c>
      <c r="M40" s="17">
        <v>0.2</v>
      </c>
      <c r="N40" s="26">
        <v>2.3E-2</v>
      </c>
      <c r="O40" s="76"/>
      <c r="P40" s="26">
        <v>0.1023</v>
      </c>
      <c r="Q40" s="17">
        <v>8.5000000000000006E-2</v>
      </c>
      <c r="R40" s="17">
        <v>0.09</v>
      </c>
      <c r="S40" s="17"/>
      <c r="T40" s="17">
        <v>5.5E-2</v>
      </c>
      <c r="U40" s="17">
        <f>501/13363</f>
        <v>3.7491581231759337E-2</v>
      </c>
      <c r="V40" s="26">
        <v>0.17</v>
      </c>
      <c r="W40" s="26">
        <v>0.13</v>
      </c>
      <c r="X40" s="17">
        <v>0.11</v>
      </c>
      <c r="Y40" s="26">
        <v>7.5999999999999998E-2</v>
      </c>
      <c r="Z40" s="76">
        <v>0.09</v>
      </c>
      <c r="AA40" s="17">
        <v>0.11</v>
      </c>
      <c r="AB40" s="17">
        <v>0.04</v>
      </c>
      <c r="AC40" s="72"/>
      <c r="AD40" s="166">
        <f t="shared" si="4"/>
        <v>8.5107982551323305E-2</v>
      </c>
      <c r="AF40" s="38">
        <f t="shared" si="5"/>
        <v>24</v>
      </c>
    </row>
    <row r="41" spans="1:32" s="38" customFormat="1" ht="12.75" customHeight="1" x14ac:dyDescent="0.25">
      <c r="A41" s="73" t="s">
        <v>110</v>
      </c>
      <c r="B41" s="17">
        <v>0.245</v>
      </c>
      <c r="C41" s="17" t="s">
        <v>258</v>
      </c>
      <c r="D41" s="17"/>
      <c r="E41" s="17">
        <v>0.25</v>
      </c>
      <c r="F41" s="17">
        <v>7.5200000000000003E-2</v>
      </c>
      <c r="G41" s="17">
        <v>0.26</v>
      </c>
      <c r="H41" s="123"/>
      <c r="I41" s="17">
        <v>0.24</v>
      </c>
      <c r="J41" s="201">
        <v>0.28460000000000002</v>
      </c>
      <c r="K41" s="17"/>
      <c r="L41" s="134">
        <v>6.8400000000000002E-2</v>
      </c>
      <c r="M41" s="17">
        <v>0.01</v>
      </c>
      <c r="N41" s="26">
        <v>0.23899999999999999</v>
      </c>
      <c r="O41" s="77"/>
      <c r="P41" s="26">
        <v>0.23</v>
      </c>
      <c r="Q41" s="17">
        <v>0.23799999999999999</v>
      </c>
      <c r="R41" s="17">
        <v>0.61</v>
      </c>
      <c r="S41" s="17"/>
      <c r="T41" s="17">
        <v>0.41339999999999999</v>
      </c>
      <c r="U41" s="17">
        <v>0.06</v>
      </c>
      <c r="V41" s="26">
        <v>0.12</v>
      </c>
      <c r="W41" s="26">
        <v>0.25</v>
      </c>
      <c r="X41" s="17">
        <v>0.65</v>
      </c>
      <c r="Y41" s="26">
        <v>0.15</v>
      </c>
      <c r="Z41" s="77">
        <v>0.03</v>
      </c>
      <c r="AA41" s="17">
        <v>0.44</v>
      </c>
      <c r="AB41" s="17">
        <v>0.1</v>
      </c>
      <c r="AC41" s="72"/>
      <c r="AD41" s="166">
        <f t="shared" si="4"/>
        <v>0.23636190476190477</v>
      </c>
      <c r="AF41" s="38">
        <f t="shared" si="5"/>
        <v>21</v>
      </c>
    </row>
    <row r="42" spans="1:32" s="80" customFormat="1" ht="26.25" x14ac:dyDescent="0.25">
      <c r="A42" s="78" t="s">
        <v>111</v>
      </c>
      <c r="B42" s="195">
        <v>3518569.32</v>
      </c>
      <c r="C42" s="195">
        <v>2863766</v>
      </c>
      <c r="D42" s="195">
        <v>2344868</v>
      </c>
      <c r="E42" s="195">
        <v>2405863.13</v>
      </c>
      <c r="F42" s="195">
        <v>1225418.42</v>
      </c>
      <c r="G42" s="195">
        <v>1581617</v>
      </c>
      <c r="H42" s="202">
        <v>560589</v>
      </c>
      <c r="I42" s="195">
        <v>6722053</v>
      </c>
      <c r="J42" s="203">
        <v>4148879</v>
      </c>
      <c r="K42" s="195"/>
      <c r="L42" s="204">
        <v>2325780</v>
      </c>
      <c r="M42" s="195">
        <v>14125513</v>
      </c>
      <c r="N42" s="205">
        <v>4009844</v>
      </c>
      <c r="O42" s="79"/>
      <c r="P42" s="205">
        <v>3473601</v>
      </c>
      <c r="Q42" s="195">
        <v>4087659</v>
      </c>
      <c r="R42" s="195">
        <v>2645119</v>
      </c>
      <c r="S42" s="195">
        <v>612156</v>
      </c>
      <c r="T42" s="195">
        <v>3131327</v>
      </c>
      <c r="U42" s="195">
        <v>310138</v>
      </c>
      <c r="V42" s="205">
        <v>3910008</v>
      </c>
      <c r="W42" s="205">
        <v>1346680</v>
      </c>
      <c r="X42" s="195">
        <v>1831467</v>
      </c>
      <c r="Y42" s="205">
        <v>3488421</v>
      </c>
      <c r="Z42" s="79">
        <v>1695784</v>
      </c>
      <c r="AA42" s="195">
        <v>4911195</v>
      </c>
      <c r="AB42" s="195">
        <v>1323624</v>
      </c>
      <c r="AC42" s="72"/>
      <c r="AD42" s="119">
        <f t="shared" si="4"/>
        <v>3143997.5548</v>
      </c>
      <c r="AF42" s="82">
        <f t="shared" si="5"/>
        <v>25</v>
      </c>
    </row>
    <row r="43" spans="1:32" ht="25.5" customHeight="1" x14ac:dyDescent="0.25">
      <c r="A43" s="78" t="s">
        <v>112</v>
      </c>
      <c r="B43" s="58">
        <v>12128367</v>
      </c>
      <c r="C43" s="58">
        <v>2573036</v>
      </c>
      <c r="D43" s="58">
        <v>5983235</v>
      </c>
      <c r="E43" s="58">
        <v>25291868</v>
      </c>
      <c r="F43" s="58">
        <v>16313852</v>
      </c>
      <c r="G43" s="58">
        <v>21579841</v>
      </c>
      <c r="H43" s="145">
        <v>8095435</v>
      </c>
      <c r="I43" s="58">
        <v>4129598</v>
      </c>
      <c r="J43" s="200">
        <v>34052952</v>
      </c>
      <c r="K43" s="58"/>
      <c r="L43" s="108">
        <v>22071980</v>
      </c>
      <c r="M43" s="58">
        <v>34921175</v>
      </c>
      <c r="N43" s="58">
        <v>19189198</v>
      </c>
      <c r="O43" s="75"/>
      <c r="P43" s="205">
        <v>25393594</v>
      </c>
      <c r="Q43" s="58">
        <v>16901562</v>
      </c>
      <c r="R43" s="58">
        <v>29717425</v>
      </c>
      <c r="S43" s="58"/>
      <c r="T43" s="58">
        <v>11231331</v>
      </c>
      <c r="U43" s="58">
        <v>7452761</v>
      </c>
      <c r="V43" s="115">
        <v>36201131</v>
      </c>
      <c r="W43" s="115">
        <v>8377452</v>
      </c>
      <c r="X43" s="58">
        <v>13439683</v>
      </c>
      <c r="Y43" s="115">
        <v>28619514</v>
      </c>
      <c r="Z43" s="75">
        <v>5733706</v>
      </c>
      <c r="AA43" s="58">
        <v>43577513</v>
      </c>
      <c r="AB43" s="115">
        <v>7049658.3799999999</v>
      </c>
      <c r="AC43" s="72"/>
      <c r="AD43" s="117">
        <f t="shared" si="4"/>
        <v>18334411.140833333</v>
      </c>
      <c r="AF43" s="82">
        <f t="shared" si="5"/>
        <v>24</v>
      </c>
    </row>
    <row r="44" spans="1:32" ht="26.25" x14ac:dyDescent="0.25">
      <c r="A44" s="78" t="s">
        <v>113</v>
      </c>
      <c r="B44" s="58"/>
      <c r="C44" s="58">
        <v>5535028</v>
      </c>
      <c r="D44" s="58"/>
      <c r="E44" s="58"/>
      <c r="F44" s="58">
        <v>2572819</v>
      </c>
      <c r="G44" s="58">
        <v>581198</v>
      </c>
      <c r="H44" s="145"/>
      <c r="I44" s="58">
        <v>13496410</v>
      </c>
      <c r="J44" s="200">
        <v>130371</v>
      </c>
      <c r="K44" s="58"/>
      <c r="L44" s="108">
        <v>3033982.36</v>
      </c>
      <c r="M44" s="58">
        <v>97161</v>
      </c>
      <c r="N44" s="58">
        <v>954306</v>
      </c>
      <c r="O44" s="75"/>
      <c r="P44" s="205">
        <v>1687230</v>
      </c>
      <c r="Q44" s="58">
        <v>1254746.06</v>
      </c>
      <c r="R44" s="58">
        <v>12400000</v>
      </c>
      <c r="S44" s="58">
        <v>5573839</v>
      </c>
      <c r="T44" s="58">
        <v>2072745</v>
      </c>
      <c r="U44" s="58">
        <v>4077638</v>
      </c>
      <c r="V44" s="115">
        <v>1648063</v>
      </c>
      <c r="W44" s="115">
        <v>1805763</v>
      </c>
      <c r="X44" s="58"/>
      <c r="Y44" s="115"/>
      <c r="Z44" s="75">
        <v>881220.3</v>
      </c>
      <c r="AA44" s="58">
        <v>4530045</v>
      </c>
      <c r="AB44" s="58">
        <v>885037.71</v>
      </c>
      <c r="AC44" s="72"/>
      <c r="AD44" s="117">
        <f t="shared" si="4"/>
        <v>3327242.2331578946</v>
      </c>
      <c r="AF44" s="82">
        <f t="shared" si="5"/>
        <v>19</v>
      </c>
    </row>
    <row r="45" spans="1:32" ht="23.25" customHeight="1" thickBot="1" x14ac:dyDescent="0.3">
      <c r="A45" s="81"/>
      <c r="B45" s="28"/>
      <c r="C45" s="28"/>
      <c r="D45" s="28"/>
      <c r="E45" s="28"/>
      <c r="F45" s="28"/>
      <c r="G45" s="28"/>
      <c r="H45" s="28"/>
      <c r="I45" s="28"/>
      <c r="J45" s="28"/>
      <c r="K45" s="28"/>
      <c r="L45" s="110"/>
      <c r="M45" s="28"/>
      <c r="N45" s="28"/>
      <c r="O45" s="28"/>
      <c r="P45" s="28"/>
      <c r="Q45" s="28"/>
      <c r="R45" s="28"/>
      <c r="S45" s="28"/>
      <c r="T45" s="28"/>
      <c r="U45" s="28"/>
      <c r="V45" s="28"/>
      <c r="W45" s="28"/>
      <c r="X45" s="28"/>
      <c r="Y45" s="28"/>
      <c r="Z45" s="28"/>
      <c r="AA45" s="28"/>
      <c r="AB45" s="28"/>
      <c r="AC45" s="72"/>
      <c r="AD45" s="72"/>
    </row>
    <row r="46" spans="1:32" ht="13.5" x14ac:dyDescent="0.25">
      <c r="A46" s="96" t="s">
        <v>147</v>
      </c>
      <c r="B46" s="28"/>
      <c r="C46" s="72"/>
      <c r="D46" s="28"/>
      <c r="E46" s="28"/>
      <c r="F46" s="28"/>
      <c r="G46" s="28"/>
      <c r="H46" s="28"/>
      <c r="I46" s="28"/>
      <c r="J46" s="28"/>
      <c r="K46" s="28"/>
      <c r="L46" s="110"/>
      <c r="M46" s="28"/>
      <c r="N46" s="28"/>
      <c r="O46" s="28"/>
      <c r="P46" s="28"/>
      <c r="Q46" s="28"/>
      <c r="R46" s="28"/>
      <c r="S46" s="28"/>
      <c r="T46" s="28"/>
      <c r="U46" s="28"/>
      <c r="V46" s="28"/>
      <c r="W46" s="28"/>
      <c r="X46" s="28"/>
      <c r="Y46" s="28"/>
      <c r="Z46" s="28"/>
      <c r="AA46" s="28"/>
      <c r="AB46" s="28"/>
      <c r="AC46" s="72"/>
      <c r="AD46" s="72"/>
    </row>
    <row r="47" spans="1:32" ht="51.75" x14ac:dyDescent="0.25">
      <c r="A47" s="97" t="s">
        <v>146</v>
      </c>
      <c r="B47" s="28"/>
      <c r="C47" s="72"/>
      <c r="D47" s="28"/>
      <c r="E47" s="28"/>
      <c r="F47" s="28"/>
      <c r="G47" s="28"/>
      <c r="H47" s="28"/>
      <c r="I47" s="28"/>
      <c r="J47" s="28"/>
      <c r="K47" s="28"/>
      <c r="L47" s="110"/>
      <c r="M47" s="28"/>
      <c r="N47" s="28"/>
      <c r="O47" s="28"/>
      <c r="P47" s="28"/>
      <c r="Q47" s="28"/>
      <c r="R47" s="28"/>
      <c r="S47" s="28"/>
      <c r="T47" s="28"/>
      <c r="U47" s="28"/>
      <c r="V47" s="28"/>
      <c r="W47" s="28"/>
      <c r="X47" s="28"/>
      <c r="Y47" s="28"/>
      <c r="Z47" s="28"/>
      <c r="AA47" s="28"/>
      <c r="AB47" s="28"/>
      <c r="AC47" s="72"/>
      <c r="AD47" s="72"/>
    </row>
    <row r="48" spans="1:32" x14ac:dyDescent="0.2">
      <c r="A48" s="1"/>
      <c r="B48" s="1"/>
      <c r="C48" s="1"/>
    </row>
    <row r="49" spans="1:3" x14ac:dyDescent="0.2">
      <c r="A49" s="1"/>
      <c r="B49" s="1"/>
      <c r="C49" s="1"/>
    </row>
    <row r="50" spans="1:3" x14ac:dyDescent="0.2">
      <c r="A50" s="1"/>
      <c r="B50" s="1"/>
      <c r="C50" s="1"/>
    </row>
    <row r="51" spans="1:3" x14ac:dyDescent="0.2">
      <c r="A51" s="1"/>
      <c r="B51" s="1"/>
      <c r="C51" s="1"/>
    </row>
    <row r="52" spans="1:3" x14ac:dyDescent="0.2">
      <c r="A52" s="1"/>
      <c r="B52" s="1"/>
      <c r="C52" s="1"/>
    </row>
    <row r="53" spans="1:3" x14ac:dyDescent="0.2">
      <c r="A53" s="1"/>
      <c r="B53" s="1"/>
      <c r="C53" s="1"/>
    </row>
    <row r="54" spans="1:3" x14ac:dyDescent="0.2">
      <c r="A54" s="1"/>
      <c r="B54" s="1"/>
      <c r="C54" s="1"/>
    </row>
    <row r="55" spans="1:3" x14ac:dyDescent="0.2">
      <c r="A55" s="1"/>
      <c r="B55" s="1"/>
      <c r="C55" s="1"/>
    </row>
    <row r="56" spans="1:3" x14ac:dyDescent="0.2">
      <c r="A56" s="1"/>
      <c r="B56" s="1"/>
      <c r="C56" s="1"/>
    </row>
    <row r="57" spans="1:3" x14ac:dyDescent="0.2">
      <c r="A57" s="1"/>
      <c r="B57" s="1"/>
      <c r="C57" s="1"/>
    </row>
    <row r="58" spans="1:3" x14ac:dyDescent="0.2">
      <c r="A58" s="1"/>
      <c r="B58" s="1"/>
      <c r="C58" s="1"/>
    </row>
    <row r="59" spans="1:3" x14ac:dyDescent="0.2">
      <c r="A59" s="1"/>
      <c r="B59" s="1"/>
      <c r="C59" s="1"/>
    </row>
    <row r="60" spans="1:3" x14ac:dyDescent="0.2">
      <c r="A60" s="1"/>
      <c r="B60" s="1"/>
      <c r="C60" s="1"/>
    </row>
    <row r="61" spans="1:3" x14ac:dyDescent="0.2">
      <c r="A61" s="1"/>
      <c r="B61" s="1"/>
      <c r="C61" s="1"/>
    </row>
    <row r="62" spans="1:3" x14ac:dyDescent="0.2">
      <c r="A62" s="1"/>
      <c r="B62" s="1"/>
      <c r="C62" s="1"/>
    </row>
    <row r="63" spans="1:3" x14ac:dyDescent="0.2">
      <c r="A63" s="1"/>
      <c r="B63" s="1"/>
      <c r="C63" s="1"/>
    </row>
    <row r="64" spans="1:3" x14ac:dyDescent="0.2">
      <c r="A64" s="1"/>
      <c r="B64" s="1"/>
      <c r="C64" s="1"/>
    </row>
    <row r="65" spans="1:3" x14ac:dyDescent="0.2">
      <c r="A65" s="1"/>
      <c r="B65" s="1"/>
      <c r="C65" s="1"/>
    </row>
    <row r="66" spans="1:3" x14ac:dyDescent="0.2">
      <c r="A66" s="1"/>
      <c r="B66" s="1"/>
      <c r="C66" s="1"/>
    </row>
    <row r="67" spans="1:3" x14ac:dyDescent="0.2">
      <c r="A67" s="1"/>
      <c r="B67" s="1"/>
      <c r="C67" s="1"/>
    </row>
    <row r="68" spans="1:3" x14ac:dyDescent="0.2">
      <c r="A68" s="1"/>
      <c r="B68" s="1"/>
      <c r="C68" s="1"/>
    </row>
    <row r="69" spans="1:3" x14ac:dyDescent="0.2">
      <c r="A69" s="1"/>
      <c r="B69" s="1"/>
      <c r="C69" s="1"/>
    </row>
    <row r="70" spans="1:3" x14ac:dyDescent="0.2">
      <c r="A70" s="1"/>
      <c r="B70" s="1"/>
      <c r="C70" s="1"/>
    </row>
    <row r="71" spans="1:3" x14ac:dyDescent="0.2">
      <c r="A71" s="1"/>
      <c r="B71" s="1"/>
      <c r="C71" s="1"/>
    </row>
    <row r="72" spans="1:3" x14ac:dyDescent="0.2">
      <c r="A72" s="1"/>
      <c r="B72" s="1"/>
      <c r="C72" s="1"/>
    </row>
    <row r="73" spans="1:3" x14ac:dyDescent="0.2">
      <c r="A73" s="1"/>
      <c r="B73" s="1"/>
      <c r="C73" s="1"/>
    </row>
    <row r="74" spans="1:3" x14ac:dyDescent="0.2">
      <c r="A74" s="1"/>
      <c r="B74" s="1"/>
      <c r="C74" s="1"/>
    </row>
    <row r="75" spans="1:3" x14ac:dyDescent="0.2">
      <c r="A75" s="1"/>
      <c r="B75" s="1"/>
      <c r="C75" s="1"/>
    </row>
    <row r="76" spans="1:3" x14ac:dyDescent="0.2">
      <c r="A76" s="1"/>
      <c r="B76" s="1"/>
      <c r="C76" s="1"/>
    </row>
    <row r="77" spans="1:3" x14ac:dyDescent="0.2">
      <c r="A77" s="1"/>
      <c r="B77" s="1"/>
      <c r="C77" s="1"/>
    </row>
    <row r="78" spans="1:3" x14ac:dyDescent="0.2">
      <c r="A78" s="1"/>
      <c r="B78" s="1"/>
      <c r="C78" s="1"/>
    </row>
    <row r="79" spans="1:3" x14ac:dyDescent="0.2">
      <c r="A79" s="1"/>
      <c r="B79" s="1"/>
      <c r="C79" s="1"/>
    </row>
    <row r="80" spans="1:3" x14ac:dyDescent="0.2">
      <c r="A80" s="1"/>
      <c r="B80" s="1"/>
      <c r="C80" s="1"/>
    </row>
    <row r="81" spans="1:3" ht="56.25" customHeight="1" x14ac:dyDescent="0.2">
      <c r="A81" s="1"/>
      <c r="B81" s="1"/>
      <c r="C81" s="1"/>
    </row>
    <row r="82" spans="1:3" x14ac:dyDescent="0.2">
      <c r="A82" s="1"/>
      <c r="B82" s="1"/>
      <c r="C82" s="1"/>
    </row>
    <row r="83" spans="1:3" s="47" customFormat="1" x14ac:dyDescent="0.2"/>
    <row r="84" spans="1:3" ht="10.5" customHeight="1" x14ac:dyDescent="0.2">
      <c r="A84" s="1"/>
      <c r="B84" s="1"/>
      <c r="C84" s="1"/>
    </row>
    <row r="85" spans="1:3" x14ac:dyDescent="0.2">
      <c r="A85" s="1"/>
      <c r="B85" s="1"/>
      <c r="C85" s="1"/>
    </row>
    <row r="86" spans="1:3" ht="11.25" customHeight="1" x14ac:dyDescent="0.2">
      <c r="A86" s="1"/>
      <c r="B86" s="1"/>
      <c r="C86" s="1"/>
    </row>
    <row r="87" spans="1:3" s="80" customFormat="1" x14ac:dyDescent="0.2"/>
    <row r="88" spans="1:3" x14ac:dyDescent="0.2">
      <c r="A88" s="1"/>
      <c r="B88" s="1"/>
      <c r="C88" s="1"/>
    </row>
    <row r="89" spans="1:3" x14ac:dyDescent="0.2">
      <c r="A89" s="1"/>
      <c r="B89" s="1"/>
      <c r="C89" s="1"/>
    </row>
    <row r="90" spans="1:3" x14ac:dyDescent="0.2">
      <c r="A90" s="1"/>
      <c r="B90" s="1"/>
      <c r="C90" s="1"/>
    </row>
    <row r="91" spans="1:3" x14ac:dyDescent="0.2">
      <c r="A91" s="1"/>
      <c r="B91" s="1"/>
      <c r="C91" s="1"/>
    </row>
    <row r="92" spans="1:3" x14ac:dyDescent="0.2">
      <c r="A92" s="1"/>
      <c r="B92" s="1"/>
      <c r="C92" s="1"/>
    </row>
    <row r="93" spans="1:3" x14ac:dyDescent="0.2">
      <c r="A93" s="1"/>
      <c r="B93" s="1"/>
      <c r="C93" s="1"/>
    </row>
    <row r="94" spans="1:3" x14ac:dyDescent="0.2">
      <c r="A94" s="1"/>
      <c r="B94" s="1"/>
      <c r="C94" s="1"/>
    </row>
    <row r="95" spans="1:3" x14ac:dyDescent="0.2">
      <c r="A95" s="1"/>
      <c r="B95" s="1"/>
      <c r="C95" s="1"/>
    </row>
    <row r="96" spans="1:3" x14ac:dyDescent="0.2">
      <c r="A96" s="1"/>
      <c r="B96" s="1"/>
      <c r="C96" s="1"/>
    </row>
    <row r="97" spans="1:3" x14ac:dyDescent="0.2">
      <c r="A97" s="1"/>
      <c r="B97" s="1"/>
      <c r="C97" s="1"/>
    </row>
    <row r="98" spans="1:3" x14ac:dyDescent="0.2">
      <c r="A98" s="1"/>
      <c r="B98" s="1"/>
      <c r="C98" s="1"/>
    </row>
    <row r="99" spans="1:3" x14ac:dyDescent="0.2">
      <c r="A99" s="1"/>
      <c r="B99" s="1"/>
      <c r="C99" s="1"/>
    </row>
    <row r="100" spans="1:3" x14ac:dyDescent="0.2">
      <c r="A100" s="1"/>
      <c r="B100" s="1"/>
      <c r="C100" s="1"/>
    </row>
    <row r="101" spans="1:3" x14ac:dyDescent="0.2">
      <c r="A101" s="1"/>
      <c r="B101" s="1"/>
      <c r="C101" s="1"/>
    </row>
    <row r="102" spans="1:3" x14ac:dyDescent="0.2">
      <c r="A102" s="1"/>
      <c r="B102" s="1"/>
      <c r="C102" s="1"/>
    </row>
    <row r="103" spans="1:3" x14ac:dyDescent="0.2">
      <c r="A103" s="1"/>
      <c r="B103" s="1"/>
      <c r="C103" s="1"/>
    </row>
    <row r="104" spans="1:3" x14ac:dyDescent="0.2">
      <c r="A104" s="1"/>
      <c r="B104" s="1"/>
      <c r="C104" s="1"/>
    </row>
    <row r="105" spans="1:3" x14ac:dyDescent="0.2">
      <c r="A105" s="1"/>
      <c r="B105" s="1"/>
      <c r="C105" s="1"/>
    </row>
    <row r="106" spans="1:3" x14ac:dyDescent="0.2">
      <c r="A106" s="1"/>
      <c r="B106" s="1"/>
      <c r="C106" s="1"/>
    </row>
    <row r="107" spans="1:3" x14ac:dyDescent="0.2">
      <c r="A107" s="1"/>
      <c r="B107" s="1"/>
      <c r="C107" s="1"/>
    </row>
    <row r="108" spans="1:3" x14ac:dyDescent="0.2">
      <c r="A108" s="1"/>
      <c r="B108" s="1"/>
      <c r="C108" s="1"/>
    </row>
    <row r="109" spans="1:3" x14ac:dyDescent="0.2">
      <c r="A109" s="1"/>
      <c r="B109" s="1"/>
      <c r="C109" s="1"/>
    </row>
    <row r="110" spans="1:3" x14ac:dyDescent="0.2">
      <c r="A110" s="1"/>
      <c r="B110" s="1"/>
      <c r="C110" s="1"/>
    </row>
    <row r="111" spans="1:3" x14ac:dyDescent="0.2">
      <c r="A111" s="1"/>
      <c r="B111" s="1"/>
      <c r="C111" s="1"/>
    </row>
    <row r="112" spans="1:3" x14ac:dyDescent="0.2">
      <c r="A112" s="1"/>
      <c r="B112" s="1"/>
      <c r="C112" s="1"/>
    </row>
    <row r="113" spans="1:3" x14ac:dyDescent="0.2">
      <c r="A113" s="1"/>
      <c r="B113" s="1"/>
      <c r="C113" s="1"/>
    </row>
    <row r="114" spans="1:3" x14ac:dyDescent="0.2">
      <c r="A114" s="1"/>
      <c r="B114" s="1"/>
      <c r="C114" s="1"/>
    </row>
    <row r="115" spans="1:3" x14ac:dyDescent="0.2">
      <c r="A115" s="1"/>
      <c r="B115" s="1"/>
      <c r="C115" s="1"/>
    </row>
    <row r="116" spans="1:3" x14ac:dyDescent="0.2">
      <c r="A116" s="1"/>
      <c r="B116" s="1"/>
      <c r="C116" s="1"/>
    </row>
    <row r="117" spans="1:3" x14ac:dyDescent="0.2">
      <c r="A117" s="1"/>
      <c r="B117" s="1"/>
      <c r="C117" s="1"/>
    </row>
    <row r="118" spans="1:3" x14ac:dyDescent="0.2">
      <c r="A118" s="1"/>
      <c r="B118" s="1"/>
      <c r="C118" s="1"/>
    </row>
    <row r="119" spans="1:3" x14ac:dyDescent="0.2">
      <c r="A119" s="1"/>
      <c r="B119" s="1"/>
      <c r="C119" s="1"/>
    </row>
    <row r="120" spans="1:3" x14ac:dyDescent="0.2">
      <c r="A120" s="1"/>
      <c r="B120" s="1"/>
      <c r="C120" s="1"/>
    </row>
    <row r="121" spans="1:3" x14ac:dyDescent="0.2">
      <c r="A121" s="1"/>
      <c r="B121" s="1"/>
      <c r="C121" s="1"/>
    </row>
    <row r="122" spans="1:3" x14ac:dyDescent="0.2">
      <c r="A122" s="1"/>
      <c r="B122" s="1"/>
      <c r="C122" s="1"/>
    </row>
    <row r="123" spans="1:3" ht="12.75" customHeight="1" x14ac:dyDescent="0.2">
      <c r="A123" s="1"/>
      <c r="B123" s="1"/>
      <c r="C123" s="1"/>
    </row>
    <row r="124" spans="1:3" x14ac:dyDescent="0.2">
      <c r="A124" s="1"/>
      <c r="B124" s="1"/>
      <c r="C124" s="1"/>
    </row>
    <row r="125" spans="1:3" x14ac:dyDescent="0.2">
      <c r="A125" s="1"/>
      <c r="B125" s="1"/>
      <c r="C125" s="1"/>
    </row>
    <row r="126" spans="1:3" x14ac:dyDescent="0.2">
      <c r="A126" s="1"/>
      <c r="B126" s="1"/>
      <c r="C126" s="1"/>
    </row>
    <row r="127" spans="1:3" x14ac:dyDescent="0.2">
      <c r="A127" s="1"/>
      <c r="B127" s="1"/>
      <c r="C127" s="1"/>
    </row>
    <row r="128" spans="1:3" x14ac:dyDescent="0.2">
      <c r="A128" s="1"/>
      <c r="B128" s="1"/>
      <c r="C128" s="1"/>
    </row>
    <row r="129" spans="1:3" x14ac:dyDescent="0.2">
      <c r="A129" s="1"/>
      <c r="B129" s="1"/>
      <c r="C129" s="1"/>
    </row>
    <row r="130" spans="1:3" x14ac:dyDescent="0.2">
      <c r="A130" s="1"/>
      <c r="B130" s="1"/>
      <c r="C130" s="1"/>
    </row>
    <row r="131" spans="1:3" x14ac:dyDescent="0.2">
      <c r="A131" s="1"/>
      <c r="B131" s="1"/>
      <c r="C131" s="1"/>
    </row>
    <row r="132" spans="1:3" x14ac:dyDescent="0.2">
      <c r="A132" s="1"/>
      <c r="B132" s="1"/>
      <c r="C132" s="1"/>
    </row>
    <row r="133" spans="1:3" ht="11.25" customHeight="1" x14ac:dyDescent="0.2">
      <c r="A133" s="1"/>
      <c r="B133" s="1"/>
      <c r="C133" s="1"/>
    </row>
    <row r="134" spans="1:3" x14ac:dyDescent="0.2">
      <c r="A134" s="1"/>
      <c r="B134" s="1"/>
      <c r="C134" s="1"/>
    </row>
    <row r="135" spans="1:3" ht="11.25" customHeight="1" x14ac:dyDescent="0.2">
      <c r="A135" s="1"/>
      <c r="B135" s="1"/>
      <c r="C135" s="1"/>
    </row>
    <row r="136" spans="1:3" s="80" customFormat="1" x14ac:dyDescent="0.2"/>
    <row r="137" spans="1:3" x14ac:dyDescent="0.2">
      <c r="A137" s="1"/>
      <c r="B137" s="1"/>
      <c r="C137" s="1"/>
    </row>
    <row r="138" spans="1:3" x14ac:dyDescent="0.2">
      <c r="A138" s="1"/>
      <c r="B138" s="1"/>
      <c r="C138" s="1"/>
    </row>
    <row r="139" spans="1:3" s="82" customFormat="1" x14ac:dyDescent="0.2"/>
    <row r="140" spans="1:3" x14ac:dyDescent="0.2">
      <c r="A140" s="1"/>
      <c r="B140" s="1"/>
      <c r="C140" s="1"/>
    </row>
    <row r="141" spans="1:3" x14ac:dyDescent="0.2">
      <c r="A141" s="1"/>
      <c r="B141" s="1"/>
      <c r="C141" s="1"/>
    </row>
    <row r="142" spans="1:3" x14ac:dyDescent="0.2">
      <c r="A142" s="1"/>
      <c r="B142" s="1"/>
      <c r="C142" s="1"/>
    </row>
    <row r="143" spans="1:3" x14ac:dyDescent="0.2">
      <c r="A143" s="1"/>
      <c r="B143" s="1"/>
      <c r="C143" s="1"/>
    </row>
    <row r="144" spans="1:3" x14ac:dyDescent="0.2">
      <c r="A144" s="1"/>
      <c r="B144" s="1"/>
      <c r="C144" s="1"/>
    </row>
    <row r="149" spans="1:3" x14ac:dyDescent="0.2">
      <c r="A149" s="49"/>
      <c r="B149" s="49"/>
      <c r="C149" s="49"/>
    </row>
    <row r="150" spans="1:3" x14ac:dyDescent="0.2">
      <c r="A150" s="49"/>
      <c r="B150" s="49"/>
      <c r="C150" s="49"/>
    </row>
    <row r="157" spans="1:3" ht="27.75" customHeight="1" x14ac:dyDescent="0.2"/>
    <row r="180" spans="1:3" ht="10.5" customHeight="1" x14ac:dyDescent="0.2"/>
    <row r="182" spans="1:3" ht="11.25" customHeight="1" x14ac:dyDescent="0.2"/>
    <row r="183" spans="1:3" s="80" customFormat="1" x14ac:dyDescent="0.2">
      <c r="A183"/>
      <c r="B183"/>
      <c r="C183"/>
    </row>
    <row r="185" spans="1:3" ht="12.75" hidden="1" customHeight="1" x14ac:dyDescent="0.2"/>
    <row r="186" spans="1:3" ht="12.75" hidden="1" customHeight="1" x14ac:dyDescent="0.2"/>
    <row r="187" spans="1:3" ht="12.75" hidden="1" customHeight="1" x14ac:dyDescent="0.2"/>
    <row r="188" spans="1:3" ht="12.75" hidden="1" customHeight="1" x14ac:dyDescent="0.2"/>
    <row r="189" spans="1:3" ht="12.75" hidden="1" customHeight="1" x14ac:dyDescent="0.2"/>
    <row r="190" spans="1:3" ht="12.75" hidden="1" customHeight="1" x14ac:dyDescent="0.2"/>
    <row r="191" spans="1:3" ht="12.75" hidden="1" customHeight="1" x14ac:dyDescent="0.2"/>
    <row r="192" spans="1:3"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29" spans="1:3" s="22" customFormat="1" ht="25.5" customHeight="1" x14ac:dyDescent="0.2">
      <c r="A229"/>
      <c r="B229"/>
      <c r="C229"/>
    </row>
    <row r="252" ht="58.5" customHeight="1" x14ac:dyDescent="0.2"/>
    <row r="254" ht="27" customHeight="1" x14ac:dyDescent="0.2"/>
    <row r="255" ht="11.25" customHeight="1" x14ac:dyDescent="0.2"/>
    <row r="257" spans="1:3" ht="11.25" customHeight="1" x14ac:dyDescent="0.2"/>
    <row r="258" spans="1:3" s="80" customFormat="1" x14ac:dyDescent="0.2">
      <c r="A258"/>
      <c r="B258"/>
      <c r="C258"/>
    </row>
    <row r="276" ht="54.75" customHeight="1" x14ac:dyDescent="0.2"/>
  </sheetData>
  <mergeCells count="3">
    <mergeCell ref="A1:C1"/>
    <mergeCell ref="A2:C2"/>
    <mergeCell ref="A4:C4"/>
  </mergeCells>
  <printOptions horizontalCentered="1" gridLines="1"/>
  <pageMargins left="0.25" right="0.25" top="0.25" bottom="0.75" header="1" footer="0.25"/>
  <pageSetup firstPageNumber="16" orientation="portrait" useFirstPageNumber="1" r:id="rId1"/>
  <headerFooter alignWithMargins="0">
    <oddFooter>&amp;C&amp;"Times New Roman,Regular"&amp;9p. 4 of 6&amp;R&amp;"Times New Roman,Regular"&amp;9 2-27-08</oddFooter>
  </headerFooter>
  <rowBreaks count="2" manualBreakCount="2">
    <brk id="177" max="16383" man="1"/>
    <brk id="2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0"/>
  <sheetViews>
    <sheetView zoomScaleNormal="100" workbookViewId="0">
      <selection sqref="A1:C1"/>
    </sheetView>
  </sheetViews>
  <sheetFormatPr defaultRowHeight="12.75" x14ac:dyDescent="0.2"/>
  <cols>
    <col min="1" max="1" width="50.5703125" style="70" customWidth="1"/>
    <col min="2" max="2" width="11" style="70" customWidth="1"/>
    <col min="3" max="3" width="10.28515625" style="70" customWidth="1"/>
    <col min="4" max="4" width="11.85546875" style="19" customWidth="1"/>
    <col min="5" max="5" width="12.7109375" style="19" customWidth="1"/>
    <col min="6" max="6" width="10.85546875" style="19" customWidth="1"/>
    <col min="7" max="7" width="12.85546875" style="19" customWidth="1"/>
    <col min="8" max="8" width="10.7109375" style="19" customWidth="1"/>
    <col min="9" max="9" width="11.28515625" style="19" customWidth="1"/>
    <col min="10" max="11" width="9.140625" style="19"/>
    <col min="12" max="12" width="11.140625" style="19" customWidth="1"/>
    <col min="13" max="13" width="10.7109375" style="19" customWidth="1"/>
    <col min="14" max="14" width="11.42578125" style="19" customWidth="1"/>
    <col min="15" max="15" width="10.42578125" style="19" customWidth="1"/>
    <col min="16" max="16" width="10.7109375" style="19" customWidth="1"/>
    <col min="17" max="17" width="12.140625" style="19" customWidth="1"/>
    <col min="18" max="18" width="10.5703125" style="19" customWidth="1"/>
    <col min="19" max="19" width="10.85546875" style="19" customWidth="1"/>
    <col min="20" max="20" width="10.42578125" style="19" customWidth="1"/>
    <col min="21" max="21" width="11" style="19" customWidth="1"/>
    <col min="22" max="22" width="10" style="19" customWidth="1"/>
    <col min="23" max="23" width="9.140625" style="19"/>
    <col min="24" max="24" width="11.28515625" style="19" customWidth="1"/>
    <col min="25" max="26" width="10.7109375" style="19" customWidth="1"/>
    <col min="27" max="28" width="10.140625" style="19" customWidth="1"/>
    <col min="29" max="29" width="2.42578125" style="19" customWidth="1"/>
    <col min="30" max="30" width="10.140625" style="19" customWidth="1"/>
    <col min="31" max="16384" width="9.140625" style="19"/>
  </cols>
  <sheetData>
    <row r="1" spans="1:32" ht="18.75" customHeight="1" x14ac:dyDescent="0.3">
      <c r="A1" s="211" t="s">
        <v>51</v>
      </c>
      <c r="B1" s="212"/>
      <c r="C1" s="212"/>
    </row>
    <row r="2" spans="1:32" ht="18.75" x14ac:dyDescent="0.3">
      <c r="A2" s="213" t="s">
        <v>156</v>
      </c>
      <c r="B2" s="214"/>
      <c r="C2" s="214"/>
    </row>
    <row r="3" spans="1:32" ht="9.75" customHeight="1" x14ac:dyDescent="0.3">
      <c r="A3" s="2"/>
      <c r="B3" s="3"/>
      <c r="C3" s="3"/>
    </row>
    <row r="4" spans="1:32" ht="16.5" customHeight="1" x14ac:dyDescent="0.3">
      <c r="A4" s="213" t="s">
        <v>114</v>
      </c>
      <c r="B4" s="214"/>
      <c r="C4" s="214"/>
    </row>
    <row r="5" spans="1:32" ht="7.5" customHeight="1" x14ac:dyDescent="0.2">
      <c r="A5" s="4"/>
      <c r="B5" s="5"/>
      <c r="C5" s="5"/>
    </row>
    <row r="6" spans="1:32" s="50" customFormat="1" ht="84.75" x14ac:dyDescent="0.25">
      <c r="A6" s="6" t="s">
        <v>2</v>
      </c>
      <c r="B6" s="7" t="s">
        <v>193</v>
      </c>
      <c r="C6" s="7" t="s">
        <v>194</v>
      </c>
      <c r="D6" s="99" t="s">
        <v>195</v>
      </c>
      <c r="E6" s="99" t="s">
        <v>196</v>
      </c>
      <c r="F6" s="99" t="s">
        <v>197</v>
      </c>
      <c r="G6" s="99" t="s">
        <v>198</v>
      </c>
      <c r="H6" s="99" t="s">
        <v>199</v>
      </c>
      <c r="I6" s="99" t="s">
        <v>200</v>
      </c>
      <c r="J6" s="99" t="s">
        <v>201</v>
      </c>
      <c r="K6" s="99" t="s">
        <v>202</v>
      </c>
      <c r="L6" s="99" t="s">
        <v>203</v>
      </c>
      <c r="M6" s="99" t="s">
        <v>204</v>
      </c>
      <c r="N6" s="99" t="s">
        <v>205</v>
      </c>
      <c r="O6" s="99" t="s">
        <v>334</v>
      </c>
      <c r="P6" s="99" t="s">
        <v>206</v>
      </c>
      <c r="Q6" s="99" t="s">
        <v>207</v>
      </c>
      <c r="R6" s="99" t="s">
        <v>208</v>
      </c>
      <c r="S6" s="99" t="s">
        <v>209</v>
      </c>
      <c r="T6" s="99" t="s">
        <v>210</v>
      </c>
      <c r="U6" s="99" t="s">
        <v>211</v>
      </c>
      <c r="V6" s="99" t="s">
        <v>212</v>
      </c>
      <c r="W6" s="99" t="s">
        <v>213</v>
      </c>
      <c r="X6" s="99" t="s">
        <v>214</v>
      </c>
      <c r="Y6" s="99" t="s">
        <v>215</v>
      </c>
      <c r="Z6" s="99" t="s">
        <v>216</v>
      </c>
      <c r="AA6" s="99" t="s">
        <v>217</v>
      </c>
      <c r="AB6" s="99" t="s">
        <v>218</v>
      </c>
      <c r="AC6" s="84"/>
      <c r="AD6" s="99" t="s">
        <v>284</v>
      </c>
    </row>
    <row r="7" spans="1:32" s="50" customFormat="1" ht="12.75" customHeight="1" x14ac:dyDescent="0.25">
      <c r="A7" s="83"/>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59"/>
    </row>
    <row r="8" spans="1:32" ht="13.5" x14ac:dyDescent="0.25">
      <c r="A8" s="51" t="s">
        <v>181</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84"/>
      <c r="AD8" s="59"/>
    </row>
    <row r="9" spans="1:32" x14ac:dyDescent="0.2">
      <c r="A9" s="52" t="s">
        <v>153</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84"/>
      <c r="AD9" s="59"/>
    </row>
    <row r="10" spans="1:32" s="85" customFormat="1" x14ac:dyDescent="0.2">
      <c r="A10" s="52" t="s">
        <v>115</v>
      </c>
      <c r="B10" s="58">
        <v>4124</v>
      </c>
      <c r="C10" s="58">
        <v>6909</v>
      </c>
      <c r="D10" s="58">
        <v>5592</v>
      </c>
      <c r="E10" s="115">
        <v>8344</v>
      </c>
      <c r="F10" s="58">
        <v>6984</v>
      </c>
      <c r="G10" s="58">
        <v>11800</v>
      </c>
      <c r="H10" s="145">
        <v>8075</v>
      </c>
      <c r="I10" s="58">
        <v>6910</v>
      </c>
      <c r="J10" s="58">
        <v>6060</v>
      </c>
      <c r="K10" s="58">
        <v>12758</v>
      </c>
      <c r="L10" s="115">
        <v>5554</v>
      </c>
      <c r="M10" s="58">
        <v>6862</v>
      </c>
      <c r="N10" s="115">
        <v>7215</v>
      </c>
      <c r="O10" s="58">
        <f>4658+540</f>
        <v>5198</v>
      </c>
      <c r="P10" s="58">
        <v>14445</v>
      </c>
      <c r="Q10" s="58">
        <v>6758</v>
      </c>
      <c r="R10" s="58">
        <v>6772</v>
      </c>
      <c r="S10" s="58">
        <v>6320</v>
      </c>
      <c r="T10" s="58">
        <v>10408</v>
      </c>
      <c r="U10" s="58">
        <v>7830</v>
      </c>
      <c r="V10" s="58">
        <v>8816</v>
      </c>
      <c r="W10" s="58">
        <v>12092</v>
      </c>
      <c r="X10" s="58">
        <v>8520</v>
      </c>
      <c r="Y10" s="58">
        <v>5393</v>
      </c>
      <c r="Z10" s="58">
        <v>5040</v>
      </c>
      <c r="AA10" s="58">
        <v>7721</v>
      </c>
      <c r="AB10" s="58">
        <v>7542</v>
      </c>
      <c r="AC10" s="84"/>
      <c r="AD10" s="117">
        <f>AVERAGE(B10:AB10)</f>
        <v>7779.333333333333</v>
      </c>
      <c r="AF10" s="167">
        <f>COUNT(B10:AB10)</f>
        <v>27</v>
      </c>
    </row>
    <row r="11" spans="1:32" s="85" customFormat="1" x14ac:dyDescent="0.2">
      <c r="A11" s="52" t="s">
        <v>116</v>
      </c>
      <c r="B11" s="58">
        <v>13346</v>
      </c>
      <c r="C11" s="58">
        <v>18090</v>
      </c>
      <c r="D11" s="58">
        <v>17616</v>
      </c>
      <c r="E11" s="115">
        <v>25382</v>
      </c>
      <c r="F11" s="58">
        <v>12864</v>
      </c>
      <c r="G11" s="58">
        <v>19260</v>
      </c>
      <c r="H11" s="145">
        <v>17020</v>
      </c>
      <c r="I11" s="58">
        <v>7810</v>
      </c>
      <c r="J11" s="58">
        <v>29089</v>
      </c>
      <c r="K11" s="58">
        <v>20945</v>
      </c>
      <c r="L11" s="115">
        <v>14418</v>
      </c>
      <c r="M11" s="58">
        <v>18022</v>
      </c>
      <c r="N11" s="115">
        <v>20490</v>
      </c>
      <c r="O11" s="58">
        <f>15370+540</f>
        <v>15910</v>
      </c>
      <c r="P11" s="58">
        <v>26522</v>
      </c>
      <c r="Q11" s="58">
        <v>15808</v>
      </c>
      <c r="R11" s="58">
        <v>12316</v>
      </c>
      <c r="S11" s="58">
        <v>6320</v>
      </c>
      <c r="T11" s="58">
        <v>19558</v>
      </c>
      <c r="U11" s="58">
        <v>16350</v>
      </c>
      <c r="V11" s="58">
        <v>20534</v>
      </c>
      <c r="W11" s="58">
        <v>12092</v>
      </c>
      <c r="X11" s="58">
        <v>16560</v>
      </c>
      <c r="Y11" s="58">
        <v>19025</v>
      </c>
      <c r="Z11" s="58">
        <v>12000</v>
      </c>
      <c r="AA11" s="58">
        <v>21336</v>
      </c>
      <c r="AB11" s="58">
        <v>15115</v>
      </c>
      <c r="AC11" s="84"/>
      <c r="AD11" s="117">
        <f>AVERAGE(B11:AB11)</f>
        <v>17177.703703703704</v>
      </c>
      <c r="AF11" s="167">
        <f>COUNT(B11:AB11)</f>
        <v>27</v>
      </c>
    </row>
    <row r="12" spans="1:32" s="85" customFormat="1" ht="25.5" x14ac:dyDescent="0.2">
      <c r="A12" s="18" t="s">
        <v>117</v>
      </c>
      <c r="B12" s="58">
        <f xml:space="preserve"> SUM(5806, 4370, 40)</f>
        <v>10216</v>
      </c>
      <c r="C12" s="58">
        <v>9000</v>
      </c>
      <c r="D12" s="58">
        <v>8010</v>
      </c>
      <c r="E12" s="115">
        <v>8998</v>
      </c>
      <c r="F12" s="58">
        <v>5332</v>
      </c>
      <c r="G12" s="58">
        <v>8810</v>
      </c>
      <c r="H12" s="145">
        <v>8658</v>
      </c>
      <c r="I12" s="58">
        <v>3960</v>
      </c>
      <c r="J12" s="58">
        <v>8598</v>
      </c>
      <c r="K12" s="58">
        <v>10510</v>
      </c>
      <c r="L12" s="115">
        <v>8466</v>
      </c>
      <c r="M12" s="58">
        <v>10961</v>
      </c>
      <c r="N12" s="115">
        <v>9651</v>
      </c>
      <c r="O12" s="58">
        <f>2086+3410</f>
        <v>5496</v>
      </c>
      <c r="P12" s="58">
        <v>10915</v>
      </c>
      <c r="Q12" s="58">
        <f>6600+4290</f>
        <v>10890</v>
      </c>
      <c r="R12" s="58">
        <v>6990</v>
      </c>
      <c r="S12" s="58">
        <v>6020</v>
      </c>
      <c r="T12" s="58">
        <v>8870</v>
      </c>
      <c r="U12" s="58">
        <v>8168</v>
      </c>
      <c r="V12" s="58">
        <v>8470</v>
      </c>
      <c r="W12" s="58">
        <v>7194</v>
      </c>
      <c r="X12" s="58">
        <v>5192</v>
      </c>
      <c r="Y12" s="58">
        <v>7302</v>
      </c>
      <c r="Z12" s="58">
        <v>4990</v>
      </c>
      <c r="AA12" s="58">
        <v>8890</v>
      </c>
      <c r="AB12" s="58">
        <v>5420</v>
      </c>
      <c r="AC12" s="84"/>
      <c r="AD12" s="117">
        <f>AVERAGE(B12:AB12)</f>
        <v>7999.1481481481478</v>
      </c>
      <c r="AF12" s="167">
        <f>COUNT(B12:AB12)</f>
        <v>27</v>
      </c>
    </row>
    <row r="13" spans="1:32" s="85" customFormat="1" x14ac:dyDescent="0.2">
      <c r="A13" s="18" t="s">
        <v>118</v>
      </c>
      <c r="B13" s="59"/>
      <c r="C13" s="59"/>
      <c r="D13" s="59"/>
      <c r="E13" s="15"/>
      <c r="F13" s="59"/>
      <c r="G13" s="59"/>
      <c r="H13" s="146"/>
      <c r="I13" s="59"/>
      <c r="J13" s="59"/>
      <c r="K13" s="59"/>
      <c r="L13" s="59"/>
      <c r="M13" s="59"/>
      <c r="N13" s="59"/>
      <c r="O13" s="59"/>
      <c r="P13" s="59"/>
      <c r="Q13" s="59"/>
      <c r="R13" s="59"/>
      <c r="S13" s="59"/>
      <c r="T13" s="59"/>
      <c r="U13" s="59"/>
      <c r="V13" s="59"/>
      <c r="W13" s="59"/>
      <c r="X13" s="59"/>
      <c r="Y13" s="59"/>
      <c r="Z13" s="59"/>
      <c r="AA13" s="59"/>
      <c r="AB13" s="59"/>
      <c r="AC13" s="84"/>
      <c r="AD13" s="59"/>
      <c r="AF13" s="167"/>
    </row>
    <row r="14" spans="1:32" s="85" customFormat="1" x14ac:dyDescent="0.2">
      <c r="A14" s="52" t="s">
        <v>119</v>
      </c>
      <c r="B14" s="58">
        <v>4335955.3699999982</v>
      </c>
      <c r="C14" s="115">
        <v>20512</v>
      </c>
      <c r="D14" s="58">
        <v>3065293</v>
      </c>
      <c r="E14" s="115">
        <v>22229</v>
      </c>
      <c r="F14" s="58">
        <v>18252</v>
      </c>
      <c r="G14" s="58">
        <v>3502993</v>
      </c>
      <c r="H14" s="145">
        <v>985370.98</v>
      </c>
      <c r="I14" s="149">
        <v>3418735</v>
      </c>
      <c r="J14" s="58">
        <v>1278959</v>
      </c>
      <c r="K14" s="58">
        <v>28881</v>
      </c>
      <c r="L14" s="115">
        <v>861108</v>
      </c>
      <c r="M14" s="58">
        <v>25264</v>
      </c>
      <c r="N14" s="115">
        <v>20934</v>
      </c>
      <c r="O14" s="58"/>
      <c r="P14" s="115">
        <v>4579661</v>
      </c>
      <c r="Q14" s="58">
        <v>20190</v>
      </c>
      <c r="R14" s="58">
        <v>19490</v>
      </c>
      <c r="S14" s="58">
        <v>263730</v>
      </c>
      <c r="T14" s="58">
        <v>23178</v>
      </c>
      <c r="U14" s="58">
        <v>20312</v>
      </c>
      <c r="V14" s="115">
        <v>906831</v>
      </c>
      <c r="W14" s="58">
        <v>22426</v>
      </c>
      <c r="X14" s="58">
        <v>17780</v>
      </c>
      <c r="Y14" s="115">
        <v>17018</v>
      </c>
      <c r="Z14" s="58">
        <v>1416230</v>
      </c>
      <c r="AA14" s="58">
        <v>3776456</v>
      </c>
      <c r="AB14" s="58"/>
      <c r="AC14" s="84"/>
      <c r="AD14" s="117">
        <f>AVERAGE(B14:AB14)</f>
        <v>1146711.534</v>
      </c>
      <c r="AF14" s="167">
        <f>COUNT(B14:AB14)</f>
        <v>25</v>
      </c>
    </row>
    <row r="15" spans="1:32" s="85" customFormat="1" x14ac:dyDescent="0.2">
      <c r="A15" s="52" t="s">
        <v>120</v>
      </c>
      <c r="B15" s="58">
        <v>922688.38</v>
      </c>
      <c r="C15" s="115">
        <v>31693</v>
      </c>
      <c r="D15" s="58">
        <v>4187515</v>
      </c>
      <c r="E15" s="115">
        <v>41333</v>
      </c>
      <c r="F15" s="58">
        <v>24132</v>
      </c>
      <c r="G15" s="58">
        <v>5761633</v>
      </c>
      <c r="H15" s="145">
        <v>598499.21</v>
      </c>
      <c r="I15" s="149">
        <v>1065927</v>
      </c>
      <c r="J15" s="58">
        <v>1691659</v>
      </c>
      <c r="K15" s="58">
        <v>37028</v>
      </c>
      <c r="L15" s="115">
        <v>2130741</v>
      </c>
      <c r="M15" s="58">
        <v>36424</v>
      </c>
      <c r="N15" s="115">
        <v>33795</v>
      </c>
      <c r="O15" s="58"/>
      <c r="P15" s="115">
        <v>1095525</v>
      </c>
      <c r="Q15" s="58">
        <v>28940</v>
      </c>
      <c r="R15" s="58">
        <v>24994</v>
      </c>
      <c r="S15" s="58">
        <v>141696.32999999999</v>
      </c>
      <c r="T15" s="58">
        <v>32328</v>
      </c>
      <c r="U15" s="58">
        <v>28832</v>
      </c>
      <c r="V15" s="115">
        <v>619580</v>
      </c>
      <c r="W15" s="58">
        <v>22426</v>
      </c>
      <c r="X15" s="58">
        <v>24530</v>
      </c>
      <c r="Y15" s="115">
        <v>31650</v>
      </c>
      <c r="Z15" s="58">
        <v>1108272</v>
      </c>
      <c r="AA15" s="58">
        <v>525084</v>
      </c>
      <c r="AB15" s="58"/>
      <c r="AC15" s="84"/>
      <c r="AD15" s="117">
        <f>AVERAGE(B15:AB15)</f>
        <v>809876.99679999996</v>
      </c>
      <c r="AF15" s="167">
        <f>COUNT(B15:AB15)</f>
        <v>25</v>
      </c>
    </row>
    <row r="16" spans="1:32" s="87" customFormat="1" ht="25.5" x14ac:dyDescent="0.2">
      <c r="A16" s="86" t="s">
        <v>121</v>
      </c>
      <c r="B16" s="14">
        <v>3825</v>
      </c>
      <c r="C16" s="14">
        <v>2452</v>
      </c>
      <c r="D16" s="14">
        <v>2650</v>
      </c>
      <c r="E16" s="120">
        <v>5888</v>
      </c>
      <c r="F16" s="14">
        <v>2471</v>
      </c>
      <c r="G16" s="14">
        <v>4491</v>
      </c>
      <c r="H16" s="138">
        <v>1467</v>
      </c>
      <c r="I16" s="14">
        <v>4943</v>
      </c>
      <c r="J16" s="14">
        <v>842</v>
      </c>
      <c r="K16" s="14">
        <v>4229</v>
      </c>
      <c r="L16" s="120">
        <v>3093</v>
      </c>
      <c r="M16" s="14">
        <v>5011</v>
      </c>
      <c r="N16" s="120">
        <v>3267</v>
      </c>
      <c r="O16" s="14"/>
      <c r="P16" s="120">
        <v>1453</v>
      </c>
      <c r="Q16" s="14">
        <v>3800</v>
      </c>
      <c r="R16" s="14">
        <v>5545</v>
      </c>
      <c r="S16" s="14">
        <v>298</v>
      </c>
      <c r="T16" s="14">
        <v>2775</v>
      </c>
      <c r="U16" s="14">
        <v>1679</v>
      </c>
      <c r="V16" s="120">
        <v>701</v>
      </c>
      <c r="W16" s="14">
        <v>1109</v>
      </c>
      <c r="X16" s="14">
        <v>1974</v>
      </c>
      <c r="Y16" s="120">
        <v>2451</v>
      </c>
      <c r="Z16" s="14">
        <v>1019</v>
      </c>
      <c r="AA16" s="14">
        <v>1406</v>
      </c>
      <c r="AB16" s="14">
        <v>1731</v>
      </c>
      <c r="AC16" s="84"/>
      <c r="AD16" s="182">
        <f>AVERAGE(B16:AB16)</f>
        <v>2714.2307692307691</v>
      </c>
      <c r="AF16" s="167">
        <f>COUNT(B16:AB16)</f>
        <v>26</v>
      </c>
    </row>
    <row r="17" spans="1:32" s="85" customFormat="1" x14ac:dyDescent="0.2">
      <c r="A17" s="52" t="s">
        <v>122</v>
      </c>
      <c r="B17" s="59"/>
      <c r="C17" s="59"/>
      <c r="D17" s="59"/>
      <c r="E17" s="15"/>
      <c r="F17" s="59"/>
      <c r="G17" s="59"/>
      <c r="H17" s="146"/>
      <c r="I17" s="59"/>
      <c r="J17" s="59"/>
      <c r="K17" s="59"/>
      <c r="L17" s="59"/>
      <c r="M17" s="59"/>
      <c r="N17" s="59"/>
      <c r="O17" s="59"/>
      <c r="P17" s="59"/>
      <c r="Q17" s="59"/>
      <c r="R17" s="59"/>
      <c r="S17" s="59"/>
      <c r="T17" s="59"/>
      <c r="U17" s="59"/>
      <c r="V17" s="59"/>
      <c r="W17" s="59"/>
      <c r="X17" s="59"/>
      <c r="Y17" s="59"/>
      <c r="Z17" s="59"/>
      <c r="AA17" s="59"/>
      <c r="AB17" s="59"/>
      <c r="AC17" s="84"/>
      <c r="AD17" s="59"/>
      <c r="AF17" s="167"/>
    </row>
    <row r="18" spans="1:32" s="85" customFormat="1" x14ac:dyDescent="0.2">
      <c r="A18" s="52" t="s">
        <v>123</v>
      </c>
      <c r="B18" s="58">
        <v>5649151</v>
      </c>
      <c r="C18" s="115">
        <v>8806535</v>
      </c>
      <c r="D18" s="58">
        <v>6352580</v>
      </c>
      <c r="E18" s="115">
        <v>5541694</v>
      </c>
      <c r="F18" s="58">
        <v>8223611</v>
      </c>
      <c r="G18" s="58">
        <v>9018714</v>
      </c>
      <c r="H18" s="145">
        <v>3299236.13</v>
      </c>
      <c r="I18" s="58">
        <v>9144532</v>
      </c>
      <c r="J18" s="58">
        <v>1157774</v>
      </c>
      <c r="K18" s="58">
        <v>6285868</v>
      </c>
      <c r="L18" s="115">
        <v>6023573</v>
      </c>
      <c r="M18" s="58">
        <v>10367704</v>
      </c>
      <c r="N18" s="115">
        <v>10426681</v>
      </c>
      <c r="O18" s="58">
        <v>13194828</v>
      </c>
      <c r="P18" s="115">
        <v>1337276</v>
      </c>
      <c r="Q18" s="58">
        <v>5534520</v>
      </c>
      <c r="R18" s="58">
        <v>5760442</v>
      </c>
      <c r="S18" s="58"/>
      <c r="T18" s="58">
        <v>4644061</v>
      </c>
      <c r="U18" s="58">
        <v>2362750.16</v>
      </c>
      <c r="V18" s="58">
        <v>2758052</v>
      </c>
      <c r="W18" s="58">
        <v>2953297</v>
      </c>
      <c r="X18" s="58">
        <v>4787221</v>
      </c>
      <c r="Y18" s="115">
        <v>4950511</v>
      </c>
      <c r="Z18" s="58">
        <v>2446470</v>
      </c>
      <c r="AA18" s="58">
        <v>3679379</v>
      </c>
      <c r="AB18" s="58">
        <v>4995840</v>
      </c>
      <c r="AC18" s="84"/>
      <c r="AD18" s="117">
        <f>AVERAGE(B18:AB18)</f>
        <v>5757780.7803846151</v>
      </c>
      <c r="AF18" s="167">
        <f>COUNT(B18:AB18)</f>
        <v>26</v>
      </c>
    </row>
    <row r="19" spans="1:32" s="85" customFormat="1" ht="12.75" customHeight="1" x14ac:dyDescent="0.2">
      <c r="A19" s="52" t="s">
        <v>124</v>
      </c>
      <c r="B19" s="58">
        <f xml:space="preserve"> 1803138 + 61094</f>
        <v>1864232</v>
      </c>
      <c r="C19" s="115">
        <v>7795469</v>
      </c>
      <c r="D19" s="58">
        <v>1054811</v>
      </c>
      <c r="E19" s="115">
        <v>18259096</v>
      </c>
      <c r="F19" s="58">
        <v>6382980</v>
      </c>
      <c r="G19" s="58">
        <v>177103</v>
      </c>
      <c r="H19" s="145">
        <v>1479465.33</v>
      </c>
      <c r="I19" s="58">
        <v>2528333</v>
      </c>
      <c r="J19" s="58">
        <v>2032410</v>
      </c>
      <c r="K19" s="58">
        <v>6072982</v>
      </c>
      <c r="L19" s="115">
        <v>3881879</v>
      </c>
      <c r="M19" s="58">
        <v>13437099</v>
      </c>
      <c r="N19" s="115">
        <v>393062</v>
      </c>
      <c r="O19" s="58">
        <v>137881</v>
      </c>
      <c r="P19" s="115">
        <v>1582117</v>
      </c>
      <c r="Q19" s="58">
        <v>5430368</v>
      </c>
      <c r="R19" s="58">
        <v>3110336</v>
      </c>
      <c r="S19" s="58"/>
      <c r="T19" s="58">
        <v>4148082</v>
      </c>
      <c r="U19" s="58">
        <v>387305</v>
      </c>
      <c r="V19" s="58">
        <v>1720001</v>
      </c>
      <c r="W19" s="58">
        <v>2102028</v>
      </c>
      <c r="X19" s="58">
        <v>591991</v>
      </c>
      <c r="Y19" s="115">
        <v>3342380</v>
      </c>
      <c r="Z19" s="58">
        <v>1042838</v>
      </c>
      <c r="AA19" s="58">
        <v>1955420</v>
      </c>
      <c r="AB19" s="58">
        <v>1506432</v>
      </c>
      <c r="AC19" s="84"/>
      <c r="AD19" s="117">
        <f>AVERAGE(B19:AB19)</f>
        <v>3554465.3973076921</v>
      </c>
      <c r="AF19" s="167">
        <f>COUNT(B19:AB19)</f>
        <v>26</v>
      </c>
    </row>
    <row r="20" spans="1:32" s="85" customFormat="1" x14ac:dyDescent="0.2">
      <c r="A20" s="52" t="s">
        <v>125</v>
      </c>
      <c r="B20" s="58">
        <f xml:space="preserve"> 4028910 + 484080</f>
        <v>4512990</v>
      </c>
      <c r="C20" s="115">
        <v>1798216</v>
      </c>
      <c r="D20" s="58">
        <v>7252808</v>
      </c>
      <c r="E20" s="115">
        <v>1347687</v>
      </c>
      <c r="F20" s="58">
        <v>9752611</v>
      </c>
      <c r="G20" s="58">
        <v>10751755</v>
      </c>
      <c r="H20" s="145">
        <v>1583870.19</v>
      </c>
      <c r="I20" s="58">
        <v>3626539</v>
      </c>
      <c r="J20" s="58">
        <v>2976993</v>
      </c>
      <c r="K20" s="58">
        <v>8069871</v>
      </c>
      <c r="L20" s="115">
        <v>2991849</v>
      </c>
      <c r="M20" s="58">
        <v>1194445</v>
      </c>
      <c r="N20" s="115">
        <v>11607359</v>
      </c>
      <c r="O20" s="58">
        <f>163400+6834644</f>
        <v>6998044</v>
      </c>
      <c r="P20" s="115">
        <v>5675186</v>
      </c>
      <c r="Q20" s="58">
        <v>1685092</v>
      </c>
      <c r="R20" s="58">
        <v>25328425</v>
      </c>
      <c r="S20" s="58">
        <v>405426.33</v>
      </c>
      <c r="T20" s="58">
        <v>3615237</v>
      </c>
      <c r="U20" s="58">
        <v>1447104.54</v>
      </c>
      <c r="V20" s="58">
        <v>2181176</v>
      </c>
      <c r="W20" s="58">
        <v>5342191</v>
      </c>
      <c r="X20" s="58">
        <v>5431311</v>
      </c>
      <c r="Y20" s="115">
        <v>4562746</v>
      </c>
      <c r="Z20" s="58">
        <v>2551402</v>
      </c>
      <c r="AA20" s="206">
        <v>2781890</v>
      </c>
      <c r="AB20" s="58">
        <v>702442</v>
      </c>
      <c r="AC20" s="84"/>
      <c r="AD20" s="117">
        <f>AVERAGE(B20:AB20)</f>
        <v>5043506.1503703706</v>
      </c>
      <c r="AF20" s="167">
        <f>COUNT(B20:AB20)</f>
        <v>27</v>
      </c>
    </row>
    <row r="21" spans="1:32" s="85" customFormat="1" ht="25.5" x14ac:dyDescent="0.2">
      <c r="A21" s="18" t="s">
        <v>126</v>
      </c>
      <c r="B21" s="58">
        <f xml:space="preserve"> 20076408 + 6742854</f>
        <v>26819262</v>
      </c>
      <c r="C21" s="58">
        <v>18667152</v>
      </c>
      <c r="D21" s="58">
        <v>11544253</v>
      </c>
      <c r="E21" s="115">
        <v>33639995</v>
      </c>
      <c r="F21" s="58">
        <v>18215453</v>
      </c>
      <c r="G21" s="58">
        <v>26130470</v>
      </c>
      <c r="H21" s="58">
        <v>10288720.09</v>
      </c>
      <c r="I21" s="58">
        <v>30901116</v>
      </c>
      <c r="J21" s="58">
        <v>1845179</v>
      </c>
      <c r="K21" s="14">
        <v>34211912</v>
      </c>
      <c r="L21" s="115">
        <v>15801062</v>
      </c>
      <c r="M21" s="58">
        <v>29160331</v>
      </c>
      <c r="N21" s="115">
        <v>24901249</v>
      </c>
      <c r="O21" s="58">
        <f>12345016+6355831</f>
        <v>18700847</v>
      </c>
      <c r="P21" s="115">
        <v>6131597</v>
      </c>
      <c r="Q21" s="58">
        <v>27576650</v>
      </c>
      <c r="R21" s="58">
        <v>18540481</v>
      </c>
      <c r="S21" s="58"/>
      <c r="T21" s="58">
        <v>13534078</v>
      </c>
      <c r="U21" s="58">
        <v>7061425</v>
      </c>
      <c r="V21" s="58">
        <v>17830742</v>
      </c>
      <c r="W21" s="58">
        <v>6369077</v>
      </c>
      <c r="X21" s="58">
        <v>9600009</v>
      </c>
      <c r="Y21" s="115">
        <v>13491892</v>
      </c>
      <c r="Z21" s="58">
        <v>3501134</v>
      </c>
      <c r="AA21" s="58">
        <v>9098126</v>
      </c>
      <c r="AB21" s="58">
        <v>14050052</v>
      </c>
      <c r="AC21" s="84"/>
      <c r="AD21" s="117">
        <f>AVERAGE(B21:AB21)</f>
        <v>17215856.311153848</v>
      </c>
      <c r="AF21" s="167">
        <f>COUNT(B21:AB21)</f>
        <v>26</v>
      </c>
    </row>
    <row r="22" spans="1:32" x14ac:dyDescent="0.2">
      <c r="A22" s="52" t="s">
        <v>127</v>
      </c>
      <c r="B22" s="15"/>
      <c r="C22" s="15"/>
      <c r="D22" s="15"/>
      <c r="E22" s="15"/>
      <c r="F22" s="15"/>
      <c r="G22" s="15"/>
      <c r="H22" s="129"/>
      <c r="I22" s="15"/>
      <c r="J22" s="15"/>
      <c r="K22" s="15"/>
      <c r="L22" s="15"/>
      <c r="M22" s="15"/>
      <c r="N22" s="15"/>
      <c r="O22" s="15"/>
      <c r="P22" s="15"/>
      <c r="Q22" s="15"/>
      <c r="R22" s="15"/>
      <c r="S22" s="15"/>
      <c r="T22" s="15"/>
      <c r="U22" s="15"/>
      <c r="V22" s="15"/>
      <c r="W22" s="15"/>
      <c r="X22" s="15"/>
      <c r="Y22" s="15"/>
      <c r="Z22" s="15"/>
      <c r="AA22" s="15"/>
      <c r="AB22" s="15"/>
      <c r="AC22" s="84"/>
      <c r="AD22" s="59"/>
      <c r="AF22" s="167"/>
    </row>
    <row r="23" spans="1:32" x14ac:dyDescent="0.2">
      <c r="A23" s="52" t="s">
        <v>128</v>
      </c>
      <c r="B23" s="14">
        <v>607</v>
      </c>
      <c r="C23" s="14"/>
      <c r="D23" s="14"/>
      <c r="E23" s="120">
        <v>502</v>
      </c>
      <c r="F23" s="14"/>
      <c r="G23" s="14">
        <v>658</v>
      </c>
      <c r="H23" s="138">
        <v>133</v>
      </c>
      <c r="I23" s="14">
        <v>372</v>
      </c>
      <c r="J23" s="14">
        <v>785</v>
      </c>
      <c r="K23" s="124">
        <v>739</v>
      </c>
      <c r="L23" s="120">
        <v>827</v>
      </c>
      <c r="M23" s="14">
        <v>481</v>
      </c>
      <c r="N23" s="120">
        <v>175</v>
      </c>
      <c r="O23" s="14"/>
      <c r="P23" s="120">
        <v>841</v>
      </c>
      <c r="Q23" s="14">
        <v>308</v>
      </c>
      <c r="R23" s="14">
        <v>3961</v>
      </c>
      <c r="S23" s="14">
        <v>160</v>
      </c>
      <c r="T23" s="14">
        <v>649</v>
      </c>
      <c r="U23" s="14">
        <v>94</v>
      </c>
      <c r="V23" s="61">
        <v>701</v>
      </c>
      <c r="W23" s="14">
        <v>738</v>
      </c>
      <c r="X23" s="14">
        <v>787</v>
      </c>
      <c r="Y23" s="120">
        <v>453</v>
      </c>
      <c r="Z23" s="14">
        <v>564</v>
      </c>
      <c r="AA23" s="14">
        <v>620</v>
      </c>
      <c r="AB23" s="14">
        <v>430</v>
      </c>
      <c r="AC23" s="84"/>
      <c r="AD23" s="182">
        <f>AVERAGE(B23:AB23)</f>
        <v>677.60869565217388</v>
      </c>
      <c r="AF23" s="167">
        <f>COUNT(B23:AB23)</f>
        <v>23</v>
      </c>
    </row>
    <row r="24" spans="1:32" x14ac:dyDescent="0.2">
      <c r="A24" s="52" t="s">
        <v>129</v>
      </c>
      <c r="B24" s="58">
        <v>969285</v>
      </c>
      <c r="C24" s="14"/>
      <c r="D24" s="58"/>
      <c r="E24" s="115">
        <v>566867</v>
      </c>
      <c r="F24" s="58"/>
      <c r="G24" s="58">
        <v>1480532</v>
      </c>
      <c r="H24" s="145">
        <v>303225</v>
      </c>
      <c r="I24" s="58">
        <v>230887</v>
      </c>
      <c r="J24" s="58">
        <v>2507200</v>
      </c>
      <c r="K24" s="58">
        <v>6474501</v>
      </c>
      <c r="L24" s="115">
        <v>1781267</v>
      </c>
      <c r="M24" s="58">
        <v>843377</v>
      </c>
      <c r="N24" s="115">
        <v>435785</v>
      </c>
      <c r="O24" s="58"/>
      <c r="P24" s="115">
        <v>2861925</v>
      </c>
      <c r="Q24" s="58">
        <v>410826</v>
      </c>
      <c r="R24" s="58">
        <v>19569415</v>
      </c>
      <c r="S24" s="58">
        <v>175650</v>
      </c>
      <c r="T24" s="58">
        <v>1453037</v>
      </c>
      <c r="U24" s="58">
        <v>172394</v>
      </c>
      <c r="V24" s="115">
        <v>1526411</v>
      </c>
      <c r="W24" s="58">
        <v>2288322</v>
      </c>
      <c r="X24" s="58">
        <v>3999767</v>
      </c>
      <c r="Y24" s="115">
        <v>617809</v>
      </c>
      <c r="Z24" s="58">
        <v>1472325</v>
      </c>
      <c r="AA24" s="58">
        <v>1855420</v>
      </c>
      <c r="AB24" s="58">
        <v>711953</v>
      </c>
      <c r="AC24" s="84"/>
      <c r="AD24" s="117">
        <f>AVERAGE(B24:AB24)</f>
        <v>2291660</v>
      </c>
      <c r="AF24" s="167">
        <f>COUNT(B24:AB24)</f>
        <v>23</v>
      </c>
    </row>
    <row r="25" spans="1:32" ht="25.5" x14ac:dyDescent="0.2">
      <c r="A25" s="18" t="s">
        <v>130</v>
      </c>
      <c r="B25" s="15"/>
      <c r="C25" s="15"/>
      <c r="D25" s="15"/>
      <c r="E25" s="15"/>
      <c r="F25" s="15"/>
      <c r="G25" s="15"/>
      <c r="H25" s="129"/>
      <c r="I25" s="15"/>
      <c r="J25" s="15"/>
      <c r="K25" s="15"/>
      <c r="L25" s="15"/>
      <c r="M25" s="15"/>
      <c r="N25" s="15"/>
      <c r="O25" s="15"/>
      <c r="P25" s="15"/>
      <c r="Q25" s="15"/>
      <c r="R25" s="15"/>
      <c r="S25" s="15"/>
      <c r="T25" s="15"/>
      <c r="U25" s="15"/>
      <c r="V25" s="15"/>
      <c r="W25" s="15"/>
      <c r="X25" s="15"/>
      <c r="Y25" s="15"/>
      <c r="Z25" s="15"/>
      <c r="AA25" s="15"/>
      <c r="AB25" s="15"/>
      <c r="AC25" s="84"/>
      <c r="AD25" s="59"/>
    </row>
    <row r="26" spans="1:32" x14ac:dyDescent="0.2">
      <c r="A26" s="52" t="s">
        <v>128</v>
      </c>
      <c r="B26" s="36"/>
      <c r="C26" s="14"/>
      <c r="D26" s="36"/>
      <c r="E26" s="61"/>
      <c r="F26" s="36"/>
      <c r="G26" s="36">
        <v>34</v>
      </c>
      <c r="H26" s="147">
        <v>65</v>
      </c>
      <c r="I26" s="36">
        <v>312</v>
      </c>
      <c r="J26" s="36"/>
      <c r="K26" s="36">
        <v>105</v>
      </c>
      <c r="L26" s="61"/>
      <c r="M26" s="36"/>
      <c r="N26" s="61">
        <v>73</v>
      </c>
      <c r="O26" s="36"/>
      <c r="P26" s="61"/>
      <c r="Q26" s="36">
        <v>23</v>
      </c>
      <c r="R26" s="36">
        <v>195</v>
      </c>
      <c r="S26" s="36">
        <v>144</v>
      </c>
      <c r="T26" s="36">
        <v>203</v>
      </c>
      <c r="U26" s="36">
        <v>292</v>
      </c>
      <c r="V26" s="61">
        <v>35</v>
      </c>
      <c r="W26" s="36">
        <v>7</v>
      </c>
      <c r="X26" s="36">
        <v>171</v>
      </c>
      <c r="Y26" s="61">
        <v>13</v>
      </c>
      <c r="Z26" s="36">
        <v>22</v>
      </c>
      <c r="AA26" s="36"/>
      <c r="AB26" s="36"/>
      <c r="AC26" s="84"/>
      <c r="AD26" s="207">
        <f>AVERAGE(B26:AB26)</f>
        <v>112.93333333333334</v>
      </c>
      <c r="AF26" s="19">
        <f>COUNT(B26:AB26)</f>
        <v>15</v>
      </c>
    </row>
    <row r="27" spans="1:32" x14ac:dyDescent="0.2">
      <c r="A27" s="52" t="s">
        <v>129</v>
      </c>
      <c r="B27" s="58"/>
      <c r="C27" s="14"/>
      <c r="D27" s="58"/>
      <c r="E27" s="115"/>
      <c r="F27" s="58"/>
      <c r="G27" s="58">
        <v>102000</v>
      </c>
      <c r="H27" s="145">
        <v>79420.820000000065</v>
      </c>
      <c r="I27" s="58">
        <v>105575</v>
      </c>
      <c r="J27" s="58"/>
      <c r="K27" s="58">
        <v>384977</v>
      </c>
      <c r="L27" s="115"/>
      <c r="M27" s="58"/>
      <c r="N27" s="115">
        <v>354148</v>
      </c>
      <c r="O27" s="58"/>
      <c r="P27" s="115"/>
      <c r="Q27" s="58">
        <v>19574</v>
      </c>
      <c r="R27" s="58">
        <v>177968</v>
      </c>
      <c r="S27" s="58">
        <v>108368</v>
      </c>
      <c r="T27" s="58">
        <v>298989</v>
      </c>
      <c r="U27" s="58">
        <v>217077</v>
      </c>
      <c r="V27" s="115">
        <v>35000</v>
      </c>
      <c r="W27" s="58">
        <v>4900</v>
      </c>
      <c r="X27" s="58">
        <v>449775</v>
      </c>
      <c r="Y27" s="115">
        <v>8148</v>
      </c>
      <c r="Z27" s="58">
        <v>27308</v>
      </c>
      <c r="AA27" s="58"/>
      <c r="AB27" s="58"/>
      <c r="AC27" s="84"/>
      <c r="AD27" s="117">
        <f>AVERAGE(B27:AB27)</f>
        <v>158215.18800000002</v>
      </c>
      <c r="AF27" s="19">
        <f>COUNT(B27:AB27)</f>
        <v>15</v>
      </c>
    </row>
    <row r="28" spans="1:32" ht="12.75" customHeight="1" x14ac:dyDescent="0.2">
      <c r="A28" s="52" t="s">
        <v>131</v>
      </c>
      <c r="B28" s="15"/>
      <c r="C28" s="15"/>
      <c r="D28" s="15"/>
      <c r="E28" s="15"/>
      <c r="F28" s="15"/>
      <c r="G28" s="15"/>
      <c r="H28" s="129"/>
      <c r="I28" s="15"/>
      <c r="J28" s="15"/>
      <c r="K28" s="15"/>
      <c r="L28" s="15"/>
      <c r="M28" s="15"/>
      <c r="N28" s="15"/>
      <c r="O28" s="15"/>
      <c r="P28" s="15"/>
      <c r="Q28" s="15"/>
      <c r="R28" s="15"/>
      <c r="S28" s="15"/>
      <c r="T28" s="15"/>
      <c r="U28" s="15"/>
      <c r="V28" s="15"/>
      <c r="W28" s="15"/>
      <c r="X28" s="15"/>
      <c r="Y28" s="15"/>
      <c r="Z28" s="15"/>
      <c r="AA28" s="15"/>
      <c r="AB28" s="15"/>
      <c r="AC28" s="84"/>
      <c r="AD28" s="59"/>
    </row>
    <row r="29" spans="1:32" ht="12" customHeight="1" x14ac:dyDescent="0.2">
      <c r="A29" s="52" t="s">
        <v>128</v>
      </c>
      <c r="B29" s="36"/>
      <c r="C29" s="14"/>
      <c r="D29" s="36"/>
      <c r="E29" s="61">
        <v>162</v>
      </c>
      <c r="F29" s="36">
        <v>259</v>
      </c>
      <c r="G29" s="36"/>
      <c r="H29" s="147"/>
      <c r="I29" s="36">
        <v>504</v>
      </c>
      <c r="J29" s="36"/>
      <c r="K29" s="36"/>
      <c r="L29" s="61">
        <v>299</v>
      </c>
      <c r="M29" s="36">
        <v>165</v>
      </c>
      <c r="N29" s="61">
        <v>71</v>
      </c>
      <c r="O29" s="36"/>
      <c r="P29" s="61"/>
      <c r="Q29" s="36"/>
      <c r="R29" s="36">
        <v>280</v>
      </c>
      <c r="S29" s="36">
        <v>85</v>
      </c>
      <c r="T29" s="36">
        <v>136</v>
      </c>
      <c r="U29" s="36"/>
      <c r="V29" s="36"/>
      <c r="W29" s="36"/>
      <c r="X29" s="36">
        <v>103</v>
      </c>
      <c r="Y29" s="61">
        <v>194</v>
      </c>
      <c r="Z29" s="36">
        <v>140</v>
      </c>
      <c r="AA29" s="36">
        <v>208</v>
      </c>
      <c r="AB29" s="36"/>
      <c r="AC29" s="84"/>
      <c r="AD29" s="148">
        <f>AVERAGE(B29:AB29)</f>
        <v>200.46153846153845</v>
      </c>
      <c r="AF29" s="19">
        <f>COUNT(B29:AB29)</f>
        <v>13</v>
      </c>
    </row>
    <row r="30" spans="1:32" x14ac:dyDescent="0.2">
      <c r="A30" s="52" t="s">
        <v>129</v>
      </c>
      <c r="B30" s="58"/>
      <c r="C30" s="14"/>
      <c r="D30" s="58"/>
      <c r="E30" s="115">
        <v>645902</v>
      </c>
      <c r="F30" s="58">
        <v>1314013</v>
      </c>
      <c r="G30" s="58"/>
      <c r="H30" s="145"/>
      <c r="I30" s="58">
        <v>1470477</v>
      </c>
      <c r="J30" s="58"/>
      <c r="K30" s="58"/>
      <c r="L30" s="115">
        <v>1041994</v>
      </c>
      <c r="M30" s="58">
        <v>498573</v>
      </c>
      <c r="N30" s="115">
        <v>149810</v>
      </c>
      <c r="O30" s="58">
        <v>2587743</v>
      </c>
      <c r="P30" s="115"/>
      <c r="Q30" s="58"/>
      <c r="R30" s="58">
        <v>1371378</v>
      </c>
      <c r="S30" s="58">
        <v>109155</v>
      </c>
      <c r="T30" s="58">
        <v>702215</v>
      </c>
      <c r="U30" s="58"/>
      <c r="V30" s="58"/>
      <c r="W30" s="58"/>
      <c r="X30" s="58">
        <v>934560</v>
      </c>
      <c r="Y30" s="115">
        <v>1527645</v>
      </c>
      <c r="Z30" s="58">
        <v>1051769</v>
      </c>
      <c r="AA30" s="58">
        <v>471158</v>
      </c>
      <c r="AB30" s="58"/>
      <c r="AC30" s="84"/>
      <c r="AD30" s="117">
        <f>AVERAGE(B30:AB30)</f>
        <v>991170.85714285716</v>
      </c>
      <c r="AF30" s="19">
        <f>COUNT(B30:AB30)</f>
        <v>14</v>
      </c>
    </row>
    <row r="31" spans="1:32" x14ac:dyDescent="0.2">
      <c r="A31" s="52" t="s">
        <v>132</v>
      </c>
      <c r="B31" s="15"/>
      <c r="C31" s="15"/>
      <c r="D31" s="15"/>
      <c r="E31" s="15"/>
      <c r="F31" s="15"/>
      <c r="G31" s="15"/>
      <c r="H31" s="129"/>
      <c r="I31" s="15"/>
      <c r="J31" s="15"/>
      <c r="K31" s="15"/>
      <c r="L31" s="15"/>
      <c r="M31" s="15"/>
      <c r="N31" s="15"/>
      <c r="O31" s="15"/>
      <c r="P31" s="15"/>
      <c r="Q31" s="15"/>
      <c r="R31" s="15"/>
      <c r="S31" s="15"/>
      <c r="T31" s="15"/>
      <c r="U31" s="15"/>
      <c r="V31" s="15"/>
      <c r="W31" s="15"/>
      <c r="X31" s="15"/>
      <c r="Y31" s="15"/>
      <c r="Z31" s="15"/>
      <c r="AA31" s="15"/>
      <c r="AB31" s="15"/>
      <c r="AC31" s="84"/>
      <c r="AD31" s="59"/>
    </row>
    <row r="32" spans="1:32" s="87" customFormat="1" x14ac:dyDescent="0.2">
      <c r="A32" s="52" t="s">
        <v>128</v>
      </c>
      <c r="B32" s="36"/>
      <c r="C32" s="14"/>
      <c r="D32" s="36"/>
      <c r="E32" s="61">
        <v>74</v>
      </c>
      <c r="F32" s="36"/>
      <c r="G32" s="36">
        <v>2097</v>
      </c>
      <c r="H32" s="147">
        <v>499</v>
      </c>
      <c r="I32" s="36">
        <v>3376</v>
      </c>
      <c r="J32" s="36"/>
      <c r="K32" s="36">
        <v>173</v>
      </c>
      <c r="L32" s="61">
        <v>208</v>
      </c>
      <c r="M32" s="36"/>
      <c r="N32" s="61">
        <v>2955</v>
      </c>
      <c r="O32" s="36"/>
      <c r="P32" s="61">
        <v>827</v>
      </c>
      <c r="Q32" s="36">
        <v>48</v>
      </c>
      <c r="R32" s="36">
        <v>400</v>
      </c>
      <c r="S32" s="36">
        <v>19</v>
      </c>
      <c r="T32" s="36">
        <v>239</v>
      </c>
      <c r="U32" s="36">
        <v>644</v>
      </c>
      <c r="V32" s="36">
        <v>849</v>
      </c>
      <c r="W32" s="36">
        <v>848</v>
      </c>
      <c r="X32" s="36">
        <v>44</v>
      </c>
      <c r="Y32" s="120">
        <v>4976</v>
      </c>
      <c r="Z32" s="36"/>
      <c r="AA32" s="36">
        <v>1431</v>
      </c>
      <c r="AB32" s="36"/>
      <c r="AC32" s="84"/>
      <c r="AD32" s="182">
        <f>AVERAGE(B32:AB32)</f>
        <v>1094.8333333333333</v>
      </c>
      <c r="AF32" s="87">
        <f>COUNT(B32:AB32)</f>
        <v>18</v>
      </c>
    </row>
    <row r="33" spans="1:32" ht="12.75" customHeight="1" x14ac:dyDescent="0.2">
      <c r="A33" s="52" t="s">
        <v>129</v>
      </c>
      <c r="B33" s="58"/>
      <c r="C33" s="115">
        <v>1748947</v>
      </c>
      <c r="D33" s="58"/>
      <c r="E33" s="115">
        <v>134918</v>
      </c>
      <c r="F33" s="58"/>
      <c r="G33" s="58">
        <v>7734309</v>
      </c>
      <c r="H33" s="145">
        <v>1201224.3700000001</v>
      </c>
      <c r="I33" s="58">
        <v>2699247</v>
      </c>
      <c r="J33" s="58"/>
      <c r="K33" s="58">
        <v>1210392</v>
      </c>
      <c r="L33" s="115">
        <v>359110</v>
      </c>
      <c r="M33" s="58"/>
      <c r="N33" s="115">
        <v>19588607</v>
      </c>
      <c r="O33" s="58">
        <v>13612793</v>
      </c>
      <c r="P33" s="115">
        <v>2813261</v>
      </c>
      <c r="Q33" s="58">
        <v>69205</v>
      </c>
      <c r="R33" s="58">
        <v>583994</v>
      </c>
      <c r="S33" s="58">
        <v>12253.33</v>
      </c>
      <c r="T33" s="58">
        <v>305339</v>
      </c>
      <c r="U33" s="58">
        <v>425336</v>
      </c>
      <c r="V33" s="58">
        <v>4958306</v>
      </c>
      <c r="W33" s="58">
        <v>1796034</v>
      </c>
      <c r="X33" s="58">
        <v>47210</v>
      </c>
      <c r="Y33" s="115">
        <v>10443185</v>
      </c>
      <c r="Z33" s="58"/>
      <c r="AA33" s="58">
        <v>1855420</v>
      </c>
      <c r="AB33" s="58"/>
      <c r="AC33" s="84"/>
      <c r="AD33" s="117">
        <f>AVERAGE(B33:AB33)</f>
        <v>3579954.5350000001</v>
      </c>
      <c r="AF33" s="19">
        <f>COUNT(B33:AB33)</f>
        <v>20</v>
      </c>
    </row>
    <row r="34" spans="1:32" ht="26.25" customHeight="1" x14ac:dyDescent="0.2">
      <c r="A34" s="18" t="s">
        <v>133</v>
      </c>
      <c r="B34" s="58"/>
      <c r="C34" s="115">
        <v>8790</v>
      </c>
      <c r="D34" s="58">
        <v>12120</v>
      </c>
      <c r="E34" s="115">
        <v>10104</v>
      </c>
      <c r="F34" s="58">
        <v>11019</v>
      </c>
      <c r="G34" s="58">
        <v>13176</v>
      </c>
      <c r="H34" s="58">
        <v>11804</v>
      </c>
      <c r="I34" s="58">
        <v>9947</v>
      </c>
      <c r="J34" s="58">
        <v>10114</v>
      </c>
      <c r="K34" s="58">
        <v>14879</v>
      </c>
      <c r="L34" s="115">
        <v>12030</v>
      </c>
      <c r="M34" s="58">
        <v>15626</v>
      </c>
      <c r="N34" s="115">
        <v>6397</v>
      </c>
      <c r="O34" s="58"/>
      <c r="P34" s="115">
        <v>14823</v>
      </c>
      <c r="Q34" s="58">
        <v>10142.51</v>
      </c>
      <c r="R34" s="58">
        <v>12095.34</v>
      </c>
      <c r="S34" s="58">
        <v>1360.5</v>
      </c>
      <c r="T34" s="58">
        <v>11392</v>
      </c>
      <c r="U34" s="58">
        <v>6712.53</v>
      </c>
      <c r="V34" s="58">
        <v>9448</v>
      </c>
      <c r="W34" s="58">
        <v>15225</v>
      </c>
      <c r="X34" s="58">
        <v>11015</v>
      </c>
      <c r="Y34" s="115">
        <v>11031</v>
      </c>
      <c r="Z34" s="58">
        <v>10344</v>
      </c>
      <c r="AA34" s="58">
        <v>5392</v>
      </c>
      <c r="AB34" s="58"/>
      <c r="AC34" s="84"/>
      <c r="AD34" s="117">
        <f>AVERAGE(B34:AB34)</f>
        <v>10624.453333333333</v>
      </c>
      <c r="AF34" s="19">
        <f>COUNT(B34:AB34)</f>
        <v>24</v>
      </c>
    </row>
    <row r="35" spans="1:32" ht="12" customHeight="1" x14ac:dyDescent="0.2">
      <c r="A35" s="57"/>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84"/>
      <c r="AD35" s="59"/>
    </row>
    <row r="36" spans="1:32" s="88" customFormat="1" ht="54.75" customHeight="1" x14ac:dyDescent="0.2">
      <c r="A36" s="67" t="s">
        <v>182</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84"/>
      <c r="AD36" s="59"/>
    </row>
    <row r="37" spans="1:32" x14ac:dyDescent="0.2">
      <c r="A37" s="19"/>
      <c r="B37" s="19"/>
      <c r="C37" s="19"/>
    </row>
    <row r="38" spans="1:32" x14ac:dyDescent="0.2">
      <c r="A38" s="19"/>
      <c r="B38" s="19"/>
      <c r="C38" s="19"/>
    </row>
    <row r="39" spans="1:32" x14ac:dyDescent="0.2">
      <c r="A39" s="19"/>
      <c r="B39" s="19"/>
      <c r="C39" s="19"/>
    </row>
    <row r="40" spans="1:32" x14ac:dyDescent="0.2">
      <c r="A40" s="19"/>
      <c r="B40" s="19"/>
      <c r="C40" s="19"/>
    </row>
    <row r="41" spans="1:32" x14ac:dyDescent="0.2">
      <c r="A41" s="19"/>
      <c r="B41" s="19"/>
      <c r="C41" s="19"/>
    </row>
    <row r="42" spans="1:32" x14ac:dyDescent="0.2">
      <c r="A42" s="19"/>
      <c r="B42" s="19"/>
      <c r="C42" s="19"/>
    </row>
    <row r="43" spans="1:32" x14ac:dyDescent="0.2">
      <c r="A43" s="19"/>
      <c r="B43" s="19"/>
      <c r="C43" s="19"/>
    </row>
    <row r="44" spans="1:32" x14ac:dyDescent="0.2">
      <c r="A44" s="19"/>
      <c r="B44" s="19"/>
      <c r="C44" s="19"/>
    </row>
    <row r="45" spans="1:32" x14ac:dyDescent="0.2">
      <c r="A45" s="47"/>
      <c r="B45" s="47"/>
      <c r="C45" s="47"/>
    </row>
    <row r="46" spans="1:32" x14ac:dyDescent="0.2">
      <c r="A46" s="19"/>
      <c r="B46" s="19"/>
      <c r="C46" s="19"/>
    </row>
    <row r="47" spans="1:32" x14ac:dyDescent="0.2">
      <c r="A47" s="19"/>
      <c r="B47" s="19"/>
      <c r="C47" s="19"/>
    </row>
    <row r="48" spans="1:32" x14ac:dyDescent="0.2">
      <c r="A48" s="19"/>
      <c r="B48" s="19"/>
      <c r="C48" s="19"/>
    </row>
    <row r="49" spans="1:3" x14ac:dyDescent="0.2">
      <c r="A49" s="64"/>
      <c r="B49" s="64"/>
      <c r="C49" s="64"/>
    </row>
    <row r="50" spans="1:3" x14ac:dyDescent="0.2">
      <c r="A50" s="19"/>
      <c r="B50" s="19"/>
      <c r="C50" s="19"/>
    </row>
    <row r="51" spans="1:3" x14ac:dyDescent="0.2">
      <c r="A51" s="19"/>
      <c r="B51" s="19"/>
      <c r="C51" s="19"/>
    </row>
    <row r="52" spans="1:3" x14ac:dyDescent="0.2">
      <c r="A52" s="19"/>
      <c r="B52" s="19"/>
      <c r="C52" s="19"/>
    </row>
    <row r="53" spans="1:3" x14ac:dyDescent="0.2">
      <c r="A53" s="19"/>
      <c r="B53" s="19"/>
      <c r="C53" s="19"/>
    </row>
    <row r="54" spans="1:3" x14ac:dyDescent="0.2">
      <c r="A54" s="19"/>
      <c r="B54" s="19"/>
      <c r="C54" s="19"/>
    </row>
    <row r="55" spans="1:3" x14ac:dyDescent="0.2">
      <c r="A55" s="19"/>
      <c r="B55" s="19"/>
      <c r="C55" s="19"/>
    </row>
    <row r="56" spans="1:3" x14ac:dyDescent="0.2">
      <c r="A56" s="19"/>
      <c r="B56" s="19"/>
      <c r="C56" s="19"/>
    </row>
    <row r="57" spans="1:3" x14ac:dyDescent="0.2">
      <c r="A57" s="19"/>
      <c r="B57" s="19"/>
      <c r="C57" s="19"/>
    </row>
    <row r="58" spans="1:3" x14ac:dyDescent="0.2">
      <c r="A58" s="19"/>
      <c r="B58" s="19"/>
      <c r="C58" s="19"/>
    </row>
    <row r="59" spans="1:3" x14ac:dyDescent="0.2">
      <c r="A59" s="19"/>
      <c r="B59" s="19"/>
      <c r="C59" s="19"/>
    </row>
    <row r="60" spans="1:3" x14ac:dyDescent="0.2">
      <c r="A60" s="19"/>
      <c r="B60" s="19"/>
      <c r="C60" s="19"/>
    </row>
    <row r="61" spans="1:3" x14ac:dyDescent="0.2">
      <c r="A61" s="19"/>
      <c r="B61" s="19"/>
      <c r="C61" s="19"/>
    </row>
    <row r="62" spans="1:3" x14ac:dyDescent="0.2">
      <c r="A62" s="19"/>
      <c r="B62" s="19"/>
      <c r="C62" s="19"/>
    </row>
    <row r="63" spans="1:3" x14ac:dyDescent="0.2">
      <c r="A63" s="19"/>
      <c r="B63" s="19"/>
      <c r="C63" s="19"/>
    </row>
    <row r="64" spans="1:3" x14ac:dyDescent="0.2">
      <c r="A64" s="19"/>
      <c r="B64" s="19"/>
      <c r="C64" s="19"/>
    </row>
    <row r="65" spans="1:3" x14ac:dyDescent="0.2">
      <c r="A65" s="19"/>
      <c r="B65" s="19"/>
      <c r="C65" s="19"/>
    </row>
    <row r="66" spans="1:3" x14ac:dyDescent="0.2">
      <c r="A66" s="19"/>
      <c r="B66" s="19"/>
      <c r="C66" s="19"/>
    </row>
    <row r="67" spans="1:3" x14ac:dyDescent="0.2">
      <c r="A67" s="19"/>
      <c r="B67" s="19"/>
      <c r="C67" s="19"/>
    </row>
    <row r="68" spans="1:3" x14ac:dyDescent="0.2">
      <c r="A68" s="19"/>
      <c r="B68" s="19"/>
      <c r="C68" s="19"/>
    </row>
    <row r="69" spans="1:3" x14ac:dyDescent="0.2">
      <c r="A69" s="19"/>
      <c r="B69" s="19"/>
      <c r="C69" s="19"/>
    </row>
    <row r="75" spans="1:3" ht="56.25" customHeight="1" x14ac:dyDescent="0.2"/>
    <row r="77" spans="1:3" s="47" customFormat="1" x14ac:dyDescent="0.2">
      <c r="A77" s="70"/>
      <c r="B77" s="70"/>
      <c r="C77" s="70"/>
    </row>
    <row r="78" spans="1:3" ht="10.5" customHeight="1" x14ac:dyDescent="0.2"/>
    <row r="80" spans="1:3" ht="11.25" customHeight="1" x14ac:dyDescent="0.2"/>
    <row r="81" spans="1:3" s="64" customFormat="1" x14ac:dyDescent="0.2">
      <c r="A81" s="70"/>
      <c r="B81" s="70"/>
      <c r="C81" s="70"/>
    </row>
    <row r="117" ht="12.75" customHeight="1" x14ac:dyDescent="0.2"/>
    <row r="127" ht="11.25" customHeight="1" x14ac:dyDescent="0.2"/>
    <row r="129" spans="1:3" ht="11.25" customHeight="1" x14ac:dyDescent="0.2"/>
    <row r="130" spans="1:3" s="64" customFormat="1" x14ac:dyDescent="0.2">
      <c r="A130" s="70"/>
      <c r="B130" s="70"/>
      <c r="C130" s="70"/>
    </row>
    <row r="133" spans="1:3" s="71" customFormat="1" x14ac:dyDescent="0.2">
      <c r="A133" s="70"/>
      <c r="B133" s="70"/>
      <c r="C133" s="70"/>
    </row>
    <row r="151" ht="27.75" customHeight="1" x14ac:dyDescent="0.2"/>
    <row r="174" ht="10.5" customHeight="1" x14ac:dyDescent="0.2"/>
    <row r="176" ht="11.25" customHeight="1" x14ac:dyDescent="0.2"/>
    <row r="177" spans="1:3" s="64" customFormat="1" x14ac:dyDescent="0.2">
      <c r="A177" s="70"/>
      <c r="B177" s="70"/>
      <c r="C177" s="70"/>
    </row>
    <row r="179" spans="1:3" ht="12.75" hidden="1" customHeight="1" x14ac:dyDescent="0.2"/>
    <row r="180" spans="1:3" ht="12.75" hidden="1" customHeight="1" x14ac:dyDescent="0.2"/>
    <row r="181" spans="1:3" ht="12.75" hidden="1" customHeight="1" x14ac:dyDescent="0.2"/>
    <row r="182" spans="1:3" ht="12.75" hidden="1" customHeight="1" x14ac:dyDescent="0.2"/>
    <row r="183" spans="1:3" ht="12.75" hidden="1" customHeight="1" x14ac:dyDescent="0.2"/>
    <row r="184" spans="1:3" ht="12.75" hidden="1" customHeight="1" x14ac:dyDescent="0.2"/>
    <row r="185" spans="1:3" ht="12.75" hidden="1" customHeight="1" x14ac:dyDescent="0.2"/>
    <row r="186" spans="1:3" ht="12.75" hidden="1" customHeight="1" x14ac:dyDescent="0.2"/>
    <row r="187" spans="1:3" ht="12.75" hidden="1" customHeight="1" x14ac:dyDescent="0.2"/>
    <row r="188" spans="1:3" ht="12.75" hidden="1" customHeight="1" x14ac:dyDescent="0.2"/>
    <row r="189" spans="1:3" ht="12.75" hidden="1" customHeight="1" x14ac:dyDescent="0.2"/>
    <row r="190" spans="1:3" ht="12.75" hidden="1" customHeight="1" x14ac:dyDescent="0.2"/>
    <row r="191" spans="1:3" ht="12.75" hidden="1" customHeight="1" x14ac:dyDescent="0.2"/>
    <row r="192" spans="1:3"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23" ht="25.5" customHeight="1" x14ac:dyDescent="0.2"/>
    <row r="246" spans="1:3" ht="58.5" customHeight="1" x14ac:dyDescent="0.2"/>
    <row r="248" spans="1:3" ht="27" customHeight="1" x14ac:dyDescent="0.2"/>
    <row r="249" spans="1:3" ht="11.25" customHeight="1" x14ac:dyDescent="0.2"/>
    <row r="251" spans="1:3" ht="11.25" customHeight="1" x14ac:dyDescent="0.2"/>
    <row r="252" spans="1:3" s="64" customFormat="1" x14ac:dyDescent="0.2">
      <c r="A252" s="70"/>
      <c r="B252" s="70"/>
      <c r="C252" s="70"/>
    </row>
    <row r="270" ht="54.75" customHeight="1" x14ac:dyDescent="0.2"/>
  </sheetData>
  <mergeCells count="3">
    <mergeCell ref="A1:C1"/>
    <mergeCell ref="A2:C2"/>
    <mergeCell ref="A4:C4"/>
  </mergeCells>
  <printOptions horizontalCentered="1" gridLines="1"/>
  <pageMargins left="0.25" right="0.25" top="0.25" bottom="0.75" header="1" footer="0.25"/>
  <pageSetup scale="98" firstPageNumber="21" orientation="portrait" useFirstPageNumber="1" r:id="rId1"/>
  <headerFooter alignWithMargins="0">
    <oddFooter>&amp;C&amp;"Times New Roman,Regular"&amp;9p. 5 of 6&amp;R&amp;"Times New Roman,Regular"&amp;9 2-27-08</oddFooter>
  </headerFooter>
  <rowBreaks count="1" manualBreakCount="1">
    <brk id="2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8"/>
  <sheetViews>
    <sheetView zoomScaleNormal="100" workbookViewId="0">
      <selection sqref="A1:C1"/>
    </sheetView>
  </sheetViews>
  <sheetFormatPr defaultRowHeight="12.75" x14ac:dyDescent="0.2"/>
  <cols>
    <col min="1" max="1" width="49.140625" customWidth="1"/>
    <col min="2" max="2" width="11.140625" customWidth="1"/>
    <col min="3" max="3" width="11" style="93" customWidth="1"/>
    <col min="4" max="6" width="9.140625" style="1"/>
    <col min="7" max="7" width="10.140625" style="1" customWidth="1"/>
    <col min="8" max="8" width="9.140625" style="1"/>
    <col min="9" max="9" width="9.85546875" style="1" customWidth="1"/>
    <col min="10" max="19" width="9.140625" style="1"/>
    <col min="20" max="20" width="9.7109375" style="1" customWidth="1"/>
    <col min="21" max="22" width="9.85546875" style="1" customWidth="1"/>
    <col min="23" max="27" width="9.140625" style="1"/>
    <col min="28" max="28" width="8.7109375" style="1" customWidth="1"/>
    <col min="29" max="29" width="3" style="1" customWidth="1"/>
    <col min="30" max="30" width="10.42578125" style="1" customWidth="1"/>
    <col min="31" max="16384" width="9.140625" style="1"/>
  </cols>
  <sheetData>
    <row r="1" spans="1:32" ht="20.25" customHeight="1" x14ac:dyDescent="0.3">
      <c r="A1" s="211" t="s">
        <v>15</v>
      </c>
      <c r="B1" s="212"/>
      <c r="C1" s="212"/>
    </row>
    <row r="2" spans="1:32" ht="23.25" customHeight="1" x14ac:dyDescent="0.3">
      <c r="A2" s="213" t="s">
        <v>183</v>
      </c>
      <c r="B2" s="214"/>
      <c r="C2" s="214"/>
    </row>
    <row r="3" spans="1:32" ht="9.75" customHeight="1" x14ac:dyDescent="0.3">
      <c r="A3" s="2"/>
      <c r="B3" s="3"/>
      <c r="C3" s="3"/>
    </row>
    <row r="4" spans="1:32" ht="16.5" customHeight="1" x14ac:dyDescent="0.3">
      <c r="A4" s="213" t="s">
        <v>134</v>
      </c>
      <c r="B4" s="214"/>
      <c r="C4" s="214"/>
    </row>
    <row r="5" spans="1:32" ht="6.75" customHeight="1" x14ac:dyDescent="0.2">
      <c r="A5" s="4"/>
      <c r="B5" s="5"/>
      <c r="C5" s="5"/>
    </row>
    <row r="6" spans="1:32" s="8" customFormat="1" ht="72.75" x14ac:dyDescent="0.25">
      <c r="A6" s="6" t="s">
        <v>2</v>
      </c>
      <c r="B6" s="7" t="s">
        <v>193</v>
      </c>
      <c r="C6" s="7" t="s">
        <v>194</v>
      </c>
      <c r="D6" s="99" t="s">
        <v>195</v>
      </c>
      <c r="E6" s="99" t="s">
        <v>196</v>
      </c>
      <c r="F6" s="99" t="s">
        <v>197</v>
      </c>
      <c r="G6" s="99" t="s">
        <v>198</v>
      </c>
      <c r="H6" s="99" t="s">
        <v>199</v>
      </c>
      <c r="I6" s="99" t="s">
        <v>200</v>
      </c>
      <c r="J6" s="99" t="s">
        <v>201</v>
      </c>
      <c r="K6" s="99" t="s">
        <v>202</v>
      </c>
      <c r="L6" s="99" t="s">
        <v>203</v>
      </c>
      <c r="M6" s="99" t="s">
        <v>204</v>
      </c>
      <c r="N6" s="99" t="s">
        <v>205</v>
      </c>
      <c r="O6" s="99" t="s">
        <v>334</v>
      </c>
      <c r="P6" s="99" t="s">
        <v>206</v>
      </c>
      <c r="Q6" s="99" t="s">
        <v>207</v>
      </c>
      <c r="R6" s="99" t="s">
        <v>208</v>
      </c>
      <c r="S6" s="99" t="s">
        <v>209</v>
      </c>
      <c r="T6" s="99" t="s">
        <v>210</v>
      </c>
      <c r="U6" s="99" t="s">
        <v>211</v>
      </c>
      <c r="V6" s="99" t="s">
        <v>212</v>
      </c>
      <c r="W6" s="99" t="s">
        <v>213</v>
      </c>
      <c r="X6" s="99" t="s">
        <v>214</v>
      </c>
      <c r="Y6" s="99" t="s">
        <v>215</v>
      </c>
      <c r="Z6" s="99" t="s">
        <v>216</v>
      </c>
      <c r="AA6" s="99" t="s">
        <v>217</v>
      </c>
      <c r="AB6" s="99" t="s">
        <v>218</v>
      </c>
      <c r="AC6" s="33"/>
      <c r="AD6" s="99" t="s">
        <v>284</v>
      </c>
    </row>
    <row r="7" spans="1:32" x14ac:dyDescent="0.2">
      <c r="A7" s="33"/>
      <c r="B7" s="15"/>
      <c r="C7" s="15"/>
      <c r="D7" s="15"/>
      <c r="E7" s="15"/>
      <c r="F7" s="15"/>
      <c r="G7" s="15"/>
      <c r="H7" s="15"/>
      <c r="I7" s="15"/>
      <c r="J7" s="15"/>
      <c r="K7" s="15"/>
      <c r="L7" s="15"/>
      <c r="M7" s="15"/>
      <c r="N7" s="15"/>
      <c r="O7" s="15"/>
      <c r="P7" s="15"/>
      <c r="Q7" s="15"/>
      <c r="R7" s="15"/>
      <c r="S7" s="15"/>
      <c r="T7" s="15"/>
      <c r="U7" s="15"/>
      <c r="V7" s="15"/>
      <c r="W7" s="15"/>
      <c r="X7" s="15"/>
      <c r="Y7" s="15"/>
      <c r="Z7" s="15"/>
      <c r="AA7" s="33"/>
      <c r="AB7" s="15"/>
      <c r="AC7" s="173"/>
      <c r="AD7" s="33"/>
    </row>
    <row r="8" spans="1:32" ht="13.5" x14ac:dyDescent="0.25">
      <c r="A8" s="11" t="s">
        <v>188</v>
      </c>
      <c r="B8" s="15"/>
      <c r="C8" s="15"/>
      <c r="D8" s="15"/>
      <c r="E8" s="15"/>
      <c r="F8" s="15"/>
      <c r="G8" s="15"/>
      <c r="H8" s="15"/>
      <c r="I8" s="15"/>
      <c r="J8" s="15"/>
      <c r="K8" s="15"/>
      <c r="L8" s="15"/>
      <c r="M8" s="15"/>
      <c r="N8" s="15"/>
      <c r="O8" s="15"/>
      <c r="P8" s="15"/>
      <c r="Q8" s="15"/>
      <c r="R8" s="15"/>
      <c r="S8" s="15"/>
      <c r="T8" s="15"/>
      <c r="U8" s="15"/>
      <c r="V8" s="15"/>
      <c r="W8" s="15"/>
      <c r="X8" s="15"/>
      <c r="Y8" s="15"/>
      <c r="Z8" s="15"/>
      <c r="AA8" s="33"/>
      <c r="AB8" s="15"/>
      <c r="AC8" s="173"/>
      <c r="AD8" s="33"/>
    </row>
    <row r="9" spans="1:32" x14ac:dyDescent="0.2">
      <c r="A9" s="13" t="s">
        <v>135</v>
      </c>
      <c r="B9" s="14">
        <v>979</v>
      </c>
      <c r="C9" s="14">
        <v>534</v>
      </c>
      <c r="D9" s="14">
        <v>857</v>
      </c>
      <c r="E9" s="14">
        <v>1311</v>
      </c>
      <c r="F9" s="14">
        <v>781</v>
      </c>
      <c r="G9" s="14">
        <v>1186</v>
      </c>
      <c r="H9" s="138">
        <v>308</v>
      </c>
      <c r="I9" s="14">
        <v>623</v>
      </c>
      <c r="J9" s="14">
        <v>223</v>
      </c>
      <c r="K9" s="14">
        <v>858</v>
      </c>
      <c r="L9" s="112">
        <v>756</v>
      </c>
      <c r="M9" s="14">
        <v>1749</v>
      </c>
      <c r="N9" s="14">
        <v>704</v>
      </c>
      <c r="O9" s="14">
        <f>452+746+35+31</f>
        <v>1264</v>
      </c>
      <c r="P9" s="14">
        <v>419</v>
      </c>
      <c r="Q9" s="14">
        <v>997</v>
      </c>
      <c r="R9" s="14">
        <v>1271</v>
      </c>
      <c r="S9" s="14">
        <v>218</v>
      </c>
      <c r="T9" s="14">
        <v>270</v>
      </c>
      <c r="U9" s="14">
        <v>422</v>
      </c>
      <c r="V9" s="14">
        <v>955</v>
      </c>
      <c r="W9" s="14">
        <v>413</v>
      </c>
      <c r="X9" s="14">
        <v>552</v>
      </c>
      <c r="Y9" s="14">
        <v>553</v>
      </c>
      <c r="Z9" s="14">
        <v>983</v>
      </c>
      <c r="AA9" s="168">
        <v>373</v>
      </c>
      <c r="AB9" s="14">
        <v>366</v>
      </c>
      <c r="AC9" s="33"/>
      <c r="AD9" s="182">
        <f>AVERAGE(B9:AB9)</f>
        <v>737.96296296296293</v>
      </c>
      <c r="AF9" s="1">
        <f>COUNT(B9:AB9)</f>
        <v>27</v>
      </c>
    </row>
    <row r="10" spans="1:32" x14ac:dyDescent="0.2">
      <c r="A10" s="13" t="s">
        <v>136</v>
      </c>
      <c r="B10" s="14">
        <v>5258</v>
      </c>
      <c r="C10" s="14">
        <v>4193</v>
      </c>
      <c r="D10" s="14">
        <v>3891</v>
      </c>
      <c r="E10" s="14">
        <v>5568</v>
      </c>
      <c r="F10" s="14">
        <v>3363</v>
      </c>
      <c r="G10" s="14">
        <v>4933</v>
      </c>
      <c r="H10" s="138">
        <v>1600</v>
      </c>
      <c r="I10" s="14">
        <v>5238</v>
      </c>
      <c r="J10" s="14">
        <v>832</v>
      </c>
      <c r="K10" s="14">
        <v>5624</v>
      </c>
      <c r="L10" s="112">
        <v>4170</v>
      </c>
      <c r="M10" s="14">
        <v>8122</v>
      </c>
      <c r="N10" s="14">
        <v>5660</v>
      </c>
      <c r="O10" s="14">
        <v>7633</v>
      </c>
      <c r="P10" s="14">
        <v>1901</v>
      </c>
      <c r="Q10" s="14">
        <v>5388</v>
      </c>
      <c r="R10" s="14">
        <v>5872</v>
      </c>
      <c r="S10" s="14">
        <v>1004</v>
      </c>
      <c r="T10" s="14">
        <v>3054</v>
      </c>
      <c r="U10" s="14">
        <v>2028</v>
      </c>
      <c r="V10" s="14">
        <v>4515</v>
      </c>
      <c r="W10" s="14">
        <v>1896</v>
      </c>
      <c r="X10" s="14">
        <v>2598</v>
      </c>
      <c r="Y10" s="14">
        <v>3693</v>
      </c>
      <c r="Z10" s="14">
        <v>187</v>
      </c>
      <c r="AA10" s="168">
        <v>2420</v>
      </c>
      <c r="AB10" s="14">
        <v>2550</v>
      </c>
      <c r="AC10" s="33"/>
      <c r="AD10" s="182">
        <f>AVERAGE(B10:AB10)</f>
        <v>3821.8888888888887</v>
      </c>
      <c r="AF10" s="1">
        <f>COUNT(B10:AB10)</f>
        <v>27</v>
      </c>
    </row>
    <row r="11" spans="1:32" x14ac:dyDescent="0.2">
      <c r="A11" s="13" t="s">
        <v>137</v>
      </c>
      <c r="B11" s="14">
        <v>182</v>
      </c>
      <c r="C11" s="14">
        <v>316</v>
      </c>
      <c r="D11" s="14"/>
      <c r="E11" s="14">
        <v>876</v>
      </c>
      <c r="F11" s="14">
        <v>408</v>
      </c>
      <c r="G11" s="14">
        <v>127</v>
      </c>
      <c r="H11" s="138">
        <v>199</v>
      </c>
      <c r="I11" s="14">
        <v>678</v>
      </c>
      <c r="J11" s="14">
        <v>0</v>
      </c>
      <c r="K11" s="14">
        <v>193</v>
      </c>
      <c r="L11" s="112">
        <v>156</v>
      </c>
      <c r="M11" s="14">
        <v>899</v>
      </c>
      <c r="N11" s="14">
        <v>647</v>
      </c>
      <c r="O11" s="14">
        <v>664</v>
      </c>
      <c r="P11" s="14">
        <v>32</v>
      </c>
      <c r="Q11" s="14">
        <v>169</v>
      </c>
      <c r="R11" s="14">
        <v>365</v>
      </c>
      <c r="S11" s="17"/>
      <c r="T11" s="14">
        <v>1994</v>
      </c>
      <c r="U11" s="14">
        <v>151</v>
      </c>
      <c r="V11" s="14">
        <v>578</v>
      </c>
      <c r="W11" s="14"/>
      <c r="X11" s="14">
        <v>487</v>
      </c>
      <c r="Y11" s="14">
        <v>58</v>
      </c>
      <c r="Z11" s="14"/>
      <c r="AA11" s="168"/>
      <c r="AB11" s="14">
        <v>150</v>
      </c>
      <c r="AC11" s="33"/>
      <c r="AD11" s="182">
        <f>AVERAGE(B11:AB11)</f>
        <v>424.04545454545456</v>
      </c>
      <c r="AF11" s="1">
        <f>COUNT(B11:AB11)</f>
        <v>22</v>
      </c>
    </row>
    <row r="12" spans="1:32" s="90" customFormat="1" x14ac:dyDescent="0.2">
      <c r="A12" s="89" t="s">
        <v>138</v>
      </c>
      <c r="B12" s="39">
        <v>4738.2</v>
      </c>
      <c r="C12" s="39">
        <v>4210</v>
      </c>
      <c r="D12" s="39">
        <v>3550</v>
      </c>
      <c r="E12" s="39">
        <v>5181.03</v>
      </c>
      <c r="F12" s="39">
        <v>3147</v>
      </c>
      <c r="G12" s="39">
        <v>5034</v>
      </c>
      <c r="H12" s="140">
        <v>1495.2</v>
      </c>
      <c r="I12" s="39">
        <v>4191</v>
      </c>
      <c r="J12" s="39">
        <v>1050.4000000000001</v>
      </c>
      <c r="K12" s="14">
        <v>5200</v>
      </c>
      <c r="L12" s="113">
        <v>3686.47</v>
      </c>
      <c r="M12" s="39">
        <v>7793.97</v>
      </c>
      <c r="N12" s="127">
        <v>3815.2</v>
      </c>
      <c r="O12" s="39">
        <v>6053</v>
      </c>
      <c r="P12" s="14">
        <v>1918.93</v>
      </c>
      <c r="Q12" s="39">
        <f>78862.5/15</f>
        <v>5257.5</v>
      </c>
      <c r="R12" s="39">
        <v>5320</v>
      </c>
      <c r="S12" s="39">
        <v>852.7</v>
      </c>
      <c r="T12" s="39">
        <v>2334.0700000000002</v>
      </c>
      <c r="U12" s="39">
        <v>1834</v>
      </c>
      <c r="V12" s="39">
        <v>4013.7</v>
      </c>
      <c r="W12" s="39">
        <v>1809.33</v>
      </c>
      <c r="X12" s="39">
        <v>2350</v>
      </c>
      <c r="Y12" s="127">
        <v>3212.9</v>
      </c>
      <c r="Z12" s="39">
        <v>907</v>
      </c>
      <c r="AA12" s="169">
        <v>1707</v>
      </c>
      <c r="AB12" s="39">
        <v>2141</v>
      </c>
      <c r="AC12" s="33"/>
      <c r="AD12" s="183">
        <f>AVERAGE(B12:AB12)</f>
        <v>3437.1703703703702</v>
      </c>
      <c r="AF12" s="90">
        <f>COUNT(B12:AB12)</f>
        <v>27</v>
      </c>
    </row>
    <row r="13" spans="1:32" s="90" customFormat="1" x14ac:dyDescent="0.2">
      <c r="A13" s="89" t="s">
        <v>139</v>
      </c>
      <c r="B13" s="39">
        <v>83.8</v>
      </c>
      <c r="C13" s="39">
        <v>325.8</v>
      </c>
      <c r="D13" s="39"/>
      <c r="E13" s="39">
        <v>561.75</v>
      </c>
      <c r="F13" s="39">
        <v>207</v>
      </c>
      <c r="G13" s="39">
        <v>53</v>
      </c>
      <c r="H13" s="140">
        <v>106.3</v>
      </c>
      <c r="I13" s="39">
        <v>338</v>
      </c>
      <c r="J13" s="39">
        <v>0</v>
      </c>
      <c r="K13" s="14">
        <v>97</v>
      </c>
      <c r="L13" s="113">
        <v>87.08</v>
      </c>
      <c r="M13" s="39">
        <v>356.47</v>
      </c>
      <c r="N13" s="127">
        <v>279.39999999999998</v>
      </c>
      <c r="O13" s="39">
        <v>366</v>
      </c>
      <c r="P13" s="14">
        <v>41.92</v>
      </c>
      <c r="Q13" s="39">
        <f>1300/12</f>
        <v>108.33333333333333</v>
      </c>
      <c r="R13" s="39">
        <v>295</v>
      </c>
      <c r="S13" s="17"/>
      <c r="T13" s="39">
        <v>1157.33</v>
      </c>
      <c r="U13" s="39">
        <f>555.5/12</f>
        <v>46.291666666666664</v>
      </c>
      <c r="V13" s="39">
        <v>305.7</v>
      </c>
      <c r="W13" s="39"/>
      <c r="X13" s="39">
        <v>285</v>
      </c>
      <c r="Y13" s="127">
        <v>21</v>
      </c>
      <c r="Z13" s="39"/>
      <c r="AA13" s="169"/>
      <c r="AB13" s="39">
        <v>84</v>
      </c>
      <c r="AC13" s="33"/>
      <c r="AD13" s="183">
        <f>AVERAGE(B13:AB13)</f>
        <v>236.64431818181819</v>
      </c>
      <c r="AF13" s="90">
        <f>COUNT(B13:AB13)</f>
        <v>22</v>
      </c>
    </row>
    <row r="14" spans="1:32" x14ac:dyDescent="0.2">
      <c r="A14" s="9"/>
      <c r="B14" s="15"/>
      <c r="C14" s="15"/>
      <c r="D14" s="15"/>
      <c r="E14" s="15"/>
      <c r="F14" s="15"/>
      <c r="G14" s="15"/>
      <c r="H14" s="129"/>
      <c r="I14" s="15"/>
      <c r="J14" s="15"/>
      <c r="K14" s="15"/>
      <c r="L14" s="15"/>
      <c r="M14" s="15"/>
      <c r="N14" s="15"/>
      <c r="O14" s="15"/>
      <c r="P14" s="15"/>
      <c r="Q14" s="15"/>
      <c r="R14" s="15"/>
      <c r="S14" s="15"/>
      <c r="T14" s="15"/>
      <c r="U14" s="15"/>
      <c r="V14" s="15"/>
      <c r="W14" s="15"/>
      <c r="X14" s="15"/>
      <c r="Y14" s="15"/>
      <c r="Z14" s="15"/>
      <c r="AA14" s="33"/>
      <c r="AB14" s="15"/>
      <c r="AC14" s="33"/>
      <c r="AD14" s="33"/>
    </row>
    <row r="15" spans="1:32" ht="13.5" x14ac:dyDescent="0.25">
      <c r="A15" s="11" t="s">
        <v>189</v>
      </c>
      <c r="B15" s="15"/>
      <c r="C15" s="15"/>
      <c r="D15" s="15"/>
      <c r="E15" s="15"/>
      <c r="F15" s="15"/>
      <c r="G15" s="15"/>
      <c r="H15" s="129"/>
      <c r="I15" s="15"/>
      <c r="J15" s="15"/>
      <c r="K15" s="15"/>
      <c r="L15" s="15"/>
      <c r="M15" s="15"/>
      <c r="N15" s="15"/>
      <c r="O15" s="15"/>
      <c r="P15" s="15"/>
      <c r="Q15" s="15"/>
      <c r="R15" s="15"/>
      <c r="S15" s="15"/>
      <c r="T15" s="15"/>
      <c r="U15" s="15"/>
      <c r="V15" s="15"/>
      <c r="W15" s="15"/>
      <c r="X15" s="15"/>
      <c r="Y15" s="15"/>
      <c r="Z15" s="15"/>
      <c r="AA15" s="33"/>
      <c r="AB15" s="15"/>
      <c r="AC15" s="33"/>
      <c r="AD15" s="33"/>
    </row>
    <row r="16" spans="1:32" x14ac:dyDescent="0.2">
      <c r="A16" s="13" t="s">
        <v>154</v>
      </c>
      <c r="B16" s="59"/>
      <c r="C16" s="59"/>
      <c r="D16" s="59"/>
      <c r="E16" s="59"/>
      <c r="F16" s="59"/>
      <c r="G16" s="59"/>
      <c r="H16" s="146"/>
      <c r="I16" s="59"/>
      <c r="J16" s="59"/>
      <c r="K16" s="59"/>
      <c r="L16" s="59"/>
      <c r="M16" s="59"/>
      <c r="N16" s="59"/>
      <c r="O16" s="59"/>
      <c r="P16" s="59"/>
      <c r="Q16" s="59"/>
      <c r="R16" s="59"/>
      <c r="S16" s="59"/>
      <c r="T16" s="59"/>
      <c r="U16" s="59"/>
      <c r="V16" s="59"/>
      <c r="W16" s="59"/>
      <c r="X16" s="59"/>
      <c r="Y16" s="59"/>
      <c r="Z16" s="59"/>
      <c r="AA16" s="170"/>
      <c r="AB16" s="59"/>
      <c r="AC16" s="33"/>
      <c r="AD16" s="33"/>
    </row>
    <row r="17" spans="1:32" x14ac:dyDescent="0.2">
      <c r="A17" s="13" t="s">
        <v>140</v>
      </c>
      <c r="B17" s="58">
        <v>4285</v>
      </c>
      <c r="C17" s="58">
        <v>7812</v>
      </c>
      <c r="D17" s="58">
        <v>6462</v>
      </c>
      <c r="E17" s="58">
        <v>8618</v>
      </c>
      <c r="F17" s="58">
        <v>6884</v>
      </c>
      <c r="G17" s="58">
        <v>12776</v>
      </c>
      <c r="H17" s="145">
        <v>8525</v>
      </c>
      <c r="I17" s="58">
        <v>7238</v>
      </c>
      <c r="J17" s="58">
        <v>6783</v>
      </c>
      <c r="K17" s="58">
        <v>13144</v>
      </c>
      <c r="L17" s="115">
        <v>5834</v>
      </c>
      <c r="M17" s="58">
        <v>7162</v>
      </c>
      <c r="N17" s="115">
        <v>7215</v>
      </c>
      <c r="O17" s="58">
        <f>4960+616</f>
        <v>5576</v>
      </c>
      <c r="P17" s="58">
        <v>14773</v>
      </c>
      <c r="Q17" s="58">
        <v>7093</v>
      </c>
      <c r="R17" s="58">
        <v>6978</v>
      </c>
      <c r="S17" s="58">
        <v>6414</v>
      </c>
      <c r="T17" s="58">
        <v>10865</v>
      </c>
      <c r="U17" s="58">
        <v>8352</v>
      </c>
      <c r="V17" s="58">
        <v>9246</v>
      </c>
      <c r="W17" s="115">
        <v>12550</v>
      </c>
      <c r="X17" s="58">
        <v>9280</v>
      </c>
      <c r="Y17" s="58">
        <v>5916</v>
      </c>
      <c r="Z17" s="58">
        <v>5940</v>
      </c>
      <c r="AA17" s="171">
        <v>8107</v>
      </c>
      <c r="AB17" s="58">
        <v>7904</v>
      </c>
      <c r="AC17" s="33"/>
      <c r="AD17" s="117">
        <f>AVERAGE(B17:AB17)</f>
        <v>8212.2962962962956</v>
      </c>
      <c r="AF17" s="1">
        <f>COUNT(B17:AB17)</f>
        <v>27</v>
      </c>
    </row>
    <row r="18" spans="1:32" s="22" customFormat="1" ht="12.75" customHeight="1" x14ac:dyDescent="0.2">
      <c r="A18" s="13" t="s">
        <v>141</v>
      </c>
      <c r="B18" s="58">
        <v>13866</v>
      </c>
      <c r="C18" s="58">
        <v>18978</v>
      </c>
      <c r="D18" s="58">
        <v>17734</v>
      </c>
      <c r="E18" s="58">
        <v>26082</v>
      </c>
      <c r="F18" s="58">
        <v>12764</v>
      </c>
      <c r="G18" s="58">
        <v>19676</v>
      </c>
      <c r="H18" s="145">
        <v>17470</v>
      </c>
      <c r="I18" s="58">
        <v>9188</v>
      </c>
      <c r="J18" s="58">
        <v>29812</v>
      </c>
      <c r="K18" s="58">
        <v>21624</v>
      </c>
      <c r="L18" s="115">
        <v>15136</v>
      </c>
      <c r="M18" s="58">
        <v>18322</v>
      </c>
      <c r="N18" s="115">
        <v>20490</v>
      </c>
      <c r="O18" s="58">
        <f>16368+616</f>
        <v>16984</v>
      </c>
      <c r="P18" s="58">
        <v>27573</v>
      </c>
      <c r="Q18" s="58">
        <v>16343</v>
      </c>
      <c r="R18" s="58">
        <v>12714</v>
      </c>
      <c r="S18" s="58">
        <v>6414</v>
      </c>
      <c r="T18" s="58">
        <v>20015</v>
      </c>
      <c r="U18" s="58">
        <v>17440</v>
      </c>
      <c r="V18" s="58">
        <v>21560</v>
      </c>
      <c r="W18" s="115">
        <v>12550</v>
      </c>
      <c r="X18" s="58">
        <v>18070</v>
      </c>
      <c r="Y18" s="58">
        <v>19732</v>
      </c>
      <c r="Z18" s="58">
        <v>13980</v>
      </c>
      <c r="AA18" s="171">
        <v>22475</v>
      </c>
      <c r="AB18" s="58">
        <v>15477</v>
      </c>
      <c r="AC18" s="33"/>
      <c r="AD18" s="117">
        <f>AVERAGE(B18:AB18)</f>
        <v>17869.222222222223</v>
      </c>
      <c r="AF18" s="22">
        <f>COUNT(B18:AB18)</f>
        <v>27</v>
      </c>
    </row>
    <row r="19" spans="1:32" ht="25.5" x14ac:dyDescent="0.2">
      <c r="A19" s="18" t="s">
        <v>142</v>
      </c>
      <c r="B19" s="58">
        <f xml:space="preserve"> SUM(6067,4567,40)</f>
        <v>10674</v>
      </c>
      <c r="C19" s="58">
        <v>9240</v>
      </c>
      <c r="D19" s="58">
        <v>8310</v>
      </c>
      <c r="E19" s="58">
        <v>9268</v>
      </c>
      <c r="F19" s="58">
        <v>5332</v>
      </c>
      <c r="G19" s="58">
        <v>9088</v>
      </c>
      <c r="H19" s="58">
        <v>9102</v>
      </c>
      <c r="I19" s="58">
        <v>6525</v>
      </c>
      <c r="J19" s="58">
        <v>8598</v>
      </c>
      <c r="K19" s="58">
        <v>11370</v>
      </c>
      <c r="L19" s="115">
        <v>8634</v>
      </c>
      <c r="M19" s="58">
        <v>10961</v>
      </c>
      <c r="N19" s="115">
        <v>9651</v>
      </c>
      <c r="O19" s="58">
        <f>2878+3580</f>
        <v>6458</v>
      </c>
      <c r="P19" s="58">
        <v>11305</v>
      </c>
      <c r="Q19" s="58">
        <f>6950+4440</f>
        <v>11390</v>
      </c>
      <c r="R19" s="58">
        <v>7190</v>
      </c>
      <c r="S19" s="58">
        <v>6112</v>
      </c>
      <c r="T19" s="58">
        <v>9870</v>
      </c>
      <c r="U19" s="58">
        <v>8454</v>
      </c>
      <c r="V19" s="58">
        <v>9092</v>
      </c>
      <c r="W19" s="115">
        <v>7324</v>
      </c>
      <c r="X19" s="58">
        <v>6062</v>
      </c>
      <c r="Y19" s="58">
        <v>7584</v>
      </c>
      <c r="Z19" s="58">
        <v>3600</v>
      </c>
      <c r="AA19" s="171">
        <v>9440</v>
      </c>
      <c r="AB19" s="58">
        <v>5610</v>
      </c>
      <c r="AC19" s="33"/>
      <c r="AD19" s="117">
        <f>AVERAGE(B19:AB19)</f>
        <v>8379.4074074074069</v>
      </c>
      <c r="AF19" s="1">
        <f>COUNT(B19:AB19)</f>
        <v>27</v>
      </c>
    </row>
    <row r="20" spans="1:32" x14ac:dyDescent="0.2">
      <c r="A20" s="18" t="s">
        <v>143</v>
      </c>
      <c r="B20" s="59"/>
      <c r="C20" s="59"/>
      <c r="D20" s="59"/>
      <c r="E20" s="59"/>
      <c r="F20" s="59"/>
      <c r="G20" s="59"/>
      <c r="H20" s="146"/>
      <c r="I20" s="59"/>
      <c r="J20" s="59"/>
      <c r="K20" s="59"/>
      <c r="L20" s="59"/>
      <c r="M20" s="59"/>
      <c r="N20" s="59"/>
      <c r="O20" s="59"/>
      <c r="P20" s="59"/>
      <c r="Q20" s="59"/>
      <c r="R20" s="59"/>
      <c r="S20" s="59"/>
      <c r="T20" s="59"/>
      <c r="U20" s="135"/>
      <c r="V20" s="59"/>
      <c r="W20" s="59"/>
      <c r="X20" s="59"/>
      <c r="Y20" s="59"/>
      <c r="Z20" s="59"/>
      <c r="AA20" s="170"/>
      <c r="AB20" s="59"/>
      <c r="AC20" s="33"/>
      <c r="AD20" s="33"/>
    </row>
    <row r="21" spans="1:32" x14ac:dyDescent="0.2">
      <c r="A21" s="13" t="s">
        <v>119</v>
      </c>
      <c r="B21" s="58">
        <v>4500000</v>
      </c>
      <c r="C21" s="115">
        <v>21763</v>
      </c>
      <c r="D21" s="58"/>
      <c r="E21" s="58">
        <v>23094</v>
      </c>
      <c r="F21" s="58">
        <v>18934</v>
      </c>
      <c r="G21" s="58">
        <v>3266148</v>
      </c>
      <c r="H21" s="145">
        <v>1300117.57</v>
      </c>
      <c r="I21" s="58">
        <v>11980</v>
      </c>
      <c r="J21" s="58">
        <v>1577113</v>
      </c>
      <c r="K21" s="58">
        <v>29623</v>
      </c>
      <c r="L21" s="115">
        <v>596608</v>
      </c>
      <c r="M21" s="58">
        <v>24351</v>
      </c>
      <c r="N21" s="115">
        <v>20934</v>
      </c>
      <c r="O21" s="58"/>
      <c r="P21" s="115">
        <v>5041189</v>
      </c>
      <c r="Q21" s="58">
        <v>20650</v>
      </c>
      <c r="R21" s="58">
        <v>19948</v>
      </c>
      <c r="S21" s="58"/>
      <c r="T21" s="132"/>
      <c r="U21" s="108">
        <v>2481427.7400000002</v>
      </c>
      <c r="V21" s="115">
        <v>21360</v>
      </c>
      <c r="W21" s="115">
        <v>23014</v>
      </c>
      <c r="X21" s="58">
        <v>17780</v>
      </c>
      <c r="Y21" s="115">
        <v>18168</v>
      </c>
      <c r="Z21" s="58">
        <v>1310247</v>
      </c>
      <c r="AA21" s="171">
        <v>3776456</v>
      </c>
      <c r="AB21" s="58"/>
      <c r="AC21" s="33"/>
      <c r="AD21" s="117">
        <f>AVERAGE(B21:AB21)</f>
        <v>1096404.7868181819</v>
      </c>
      <c r="AF21" s="1">
        <f>COUNT(B21:AB21)</f>
        <v>22</v>
      </c>
    </row>
    <row r="22" spans="1:32" x14ac:dyDescent="0.2">
      <c r="A22" s="13" t="s">
        <v>120</v>
      </c>
      <c r="B22" s="58">
        <v>1000000</v>
      </c>
      <c r="C22" s="115">
        <v>32929</v>
      </c>
      <c r="D22" s="58"/>
      <c r="E22" s="58">
        <v>42768</v>
      </c>
      <c r="F22" s="58">
        <v>25054</v>
      </c>
      <c r="G22" s="58">
        <v>6769391</v>
      </c>
      <c r="H22" s="145">
        <v>699203</v>
      </c>
      <c r="I22" s="58">
        <v>13858</v>
      </c>
      <c r="J22" s="58">
        <v>1598572</v>
      </c>
      <c r="K22" s="58">
        <v>38103</v>
      </c>
      <c r="L22" s="115">
        <v>1393159</v>
      </c>
      <c r="M22" s="58">
        <v>35511</v>
      </c>
      <c r="N22" s="115">
        <v>33795</v>
      </c>
      <c r="O22" s="58"/>
      <c r="P22" s="115">
        <v>972228</v>
      </c>
      <c r="Q22" s="58">
        <v>29895</v>
      </c>
      <c r="R22" s="58">
        <v>25624</v>
      </c>
      <c r="S22" s="58"/>
      <c r="T22" s="132"/>
      <c r="U22" s="108">
        <v>1339787.8</v>
      </c>
      <c r="V22" s="115">
        <v>34600</v>
      </c>
      <c r="W22" s="115">
        <v>23014</v>
      </c>
      <c r="X22" s="58">
        <v>24530</v>
      </c>
      <c r="Y22" s="115">
        <v>32990</v>
      </c>
      <c r="Z22" s="58">
        <v>1286343</v>
      </c>
      <c r="AA22" s="171">
        <v>525084</v>
      </c>
      <c r="AB22" s="58"/>
      <c r="AC22" s="33"/>
      <c r="AD22" s="117">
        <f>AVERAGE(B22:AB22)</f>
        <v>726201.76363636367</v>
      </c>
      <c r="AF22" s="1">
        <f>COUNT(B22:AB22)</f>
        <v>22</v>
      </c>
    </row>
    <row r="23" spans="1:32" x14ac:dyDescent="0.2">
      <c r="A23" s="28"/>
      <c r="B23" s="91"/>
      <c r="C23" s="91"/>
      <c r="D23" s="91"/>
      <c r="E23" s="91"/>
      <c r="F23" s="91"/>
      <c r="G23" s="91"/>
      <c r="H23" s="91"/>
      <c r="I23" s="91"/>
      <c r="J23" s="91"/>
      <c r="K23" s="91"/>
      <c r="L23" s="91"/>
      <c r="M23" s="91"/>
      <c r="N23" s="91"/>
      <c r="O23" s="91"/>
      <c r="P23" s="91"/>
      <c r="Q23" s="91"/>
      <c r="R23" s="91"/>
      <c r="S23" s="91"/>
      <c r="T23" s="91"/>
      <c r="U23" s="136"/>
      <c r="V23" s="91"/>
      <c r="W23" s="91"/>
      <c r="X23" s="91"/>
      <c r="Y23" s="91"/>
      <c r="Z23" s="91"/>
      <c r="AA23" s="91"/>
      <c r="AB23" s="91"/>
      <c r="AC23" s="33"/>
      <c r="AD23" s="33"/>
    </row>
    <row r="24" spans="1:32" ht="54.75" customHeight="1" x14ac:dyDescent="0.2">
      <c r="A24" s="92" t="s">
        <v>184</v>
      </c>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172"/>
      <c r="AC24" s="33"/>
      <c r="AD24" s="30"/>
    </row>
    <row r="28" spans="1:32" s="22" customFormat="1" ht="27.75" customHeight="1" x14ac:dyDescent="0.2">
      <c r="A28"/>
      <c r="B28"/>
      <c r="C28" s="93"/>
    </row>
    <row r="29" spans="1:32" ht="10.5" customHeight="1" x14ac:dyDescent="0.2">
      <c r="A29" s="49"/>
      <c r="B29" s="49"/>
      <c r="C29" s="94"/>
    </row>
    <row r="30" spans="1:32" x14ac:dyDescent="0.2">
      <c r="A30" s="49"/>
      <c r="B30" s="49"/>
      <c r="C30" s="94"/>
    </row>
    <row r="33" spans="1:3" ht="10.5" customHeight="1" x14ac:dyDescent="0.2"/>
    <row r="34" spans="1:3" ht="17.25" customHeight="1" x14ac:dyDescent="0.2"/>
    <row r="35" spans="1:3" s="19" customFormat="1" ht="17.25" customHeight="1" x14ac:dyDescent="0.2">
      <c r="A35"/>
      <c r="B35"/>
      <c r="C35" s="93"/>
    </row>
    <row r="36" spans="1:3" ht="30" customHeight="1" x14ac:dyDescent="0.2"/>
    <row r="37" spans="1:3" ht="10.5" customHeight="1" x14ac:dyDescent="0.2"/>
    <row r="38" spans="1:3" ht="32.25" customHeight="1" x14ac:dyDescent="0.2"/>
    <row r="39" spans="1:3" s="38" customFormat="1" ht="18" customHeight="1" x14ac:dyDescent="0.2">
      <c r="A39"/>
      <c r="B39"/>
      <c r="C39" s="93"/>
    </row>
    <row r="40" spans="1:3" s="38" customFormat="1" x14ac:dyDescent="0.2">
      <c r="A40"/>
      <c r="B40"/>
      <c r="C40" s="93"/>
    </row>
    <row r="41" spans="1:3" s="38" customFormat="1" ht="11.25" customHeight="1" x14ac:dyDescent="0.2">
      <c r="A41"/>
      <c r="B41"/>
      <c r="C41" s="93"/>
    </row>
    <row r="42" spans="1:3" s="38" customFormat="1" x14ac:dyDescent="0.2">
      <c r="A42"/>
      <c r="B42"/>
      <c r="C42" s="93"/>
    </row>
    <row r="43" spans="1:3" s="38" customFormat="1" ht="11.25" customHeight="1" x14ac:dyDescent="0.2">
      <c r="A43"/>
      <c r="B43"/>
      <c r="C43" s="93"/>
    </row>
    <row r="44" spans="1:3" s="80" customFormat="1" x14ac:dyDescent="0.2">
      <c r="A44"/>
      <c r="B44"/>
      <c r="C44" s="93"/>
    </row>
    <row r="83" spans="1:3" ht="56.25" customHeight="1" x14ac:dyDescent="0.2"/>
    <row r="85" spans="1:3" s="47" customFormat="1" x14ac:dyDescent="0.2">
      <c r="A85"/>
      <c r="B85"/>
      <c r="C85" s="93"/>
    </row>
    <row r="86" spans="1:3" ht="10.5" customHeight="1" x14ac:dyDescent="0.2"/>
    <row r="88" spans="1:3" ht="11.25" customHeight="1" x14ac:dyDescent="0.2"/>
    <row r="89" spans="1:3" s="80" customFormat="1" x14ac:dyDescent="0.2">
      <c r="A89"/>
      <c r="B89"/>
      <c r="C89" s="93"/>
    </row>
    <row r="125" ht="12.75" customHeight="1" x14ac:dyDescent="0.2"/>
    <row r="135" spans="1:3" ht="11.25" customHeight="1" x14ac:dyDescent="0.2"/>
    <row r="137" spans="1:3" ht="11.25" customHeight="1" x14ac:dyDescent="0.2"/>
    <row r="138" spans="1:3" s="80" customFormat="1" x14ac:dyDescent="0.2">
      <c r="A138"/>
      <c r="B138"/>
      <c r="C138" s="93"/>
    </row>
    <row r="141" spans="1:3" s="82" customFormat="1" x14ac:dyDescent="0.2">
      <c r="A141"/>
      <c r="B141"/>
      <c r="C141" s="93"/>
    </row>
    <row r="159" ht="27.75" customHeight="1" x14ac:dyDescent="0.2"/>
    <row r="182" spans="1:3" ht="10.5" customHeight="1" x14ac:dyDescent="0.2"/>
    <row r="184" spans="1:3" ht="11.25" customHeight="1" x14ac:dyDescent="0.2"/>
    <row r="185" spans="1:3" s="80" customFormat="1" x14ac:dyDescent="0.2">
      <c r="A185"/>
      <c r="B185"/>
      <c r="C185" s="93"/>
    </row>
    <row r="187" spans="1:3" ht="12.75" hidden="1" customHeight="1" x14ac:dyDescent="0.2"/>
    <row r="188" spans="1:3" ht="12.75" hidden="1" customHeight="1" x14ac:dyDescent="0.2"/>
    <row r="189" spans="1:3" ht="12.75" hidden="1" customHeight="1" x14ac:dyDescent="0.2"/>
    <row r="190" spans="1:3" ht="12.75" hidden="1" customHeight="1" x14ac:dyDescent="0.2"/>
    <row r="191" spans="1:3" ht="12.75" hidden="1" customHeight="1" x14ac:dyDescent="0.2"/>
    <row r="192" spans="1:3"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31" spans="1:3" s="22" customFormat="1" ht="25.5" customHeight="1" x14ac:dyDescent="0.2">
      <c r="A231"/>
      <c r="B231"/>
      <c r="C231" s="93"/>
    </row>
    <row r="254" ht="58.5" customHeight="1" x14ac:dyDescent="0.2"/>
    <row r="256" ht="27" customHeight="1" x14ac:dyDescent="0.2"/>
    <row r="257" spans="1:3" ht="11.25" customHeight="1" x14ac:dyDescent="0.2"/>
    <row r="259" spans="1:3" ht="11.25" customHeight="1" x14ac:dyDescent="0.2"/>
    <row r="260" spans="1:3" s="80" customFormat="1" x14ac:dyDescent="0.2">
      <c r="A260"/>
      <c r="B260"/>
      <c r="C260" s="93"/>
    </row>
    <row r="278" ht="54.75" customHeight="1" x14ac:dyDescent="0.2"/>
  </sheetData>
  <mergeCells count="3">
    <mergeCell ref="A1:C1"/>
    <mergeCell ref="A2:C2"/>
    <mergeCell ref="A4:C4"/>
  </mergeCells>
  <printOptions horizontalCentered="1" gridLines="1"/>
  <pageMargins left="0.25" right="0.25" top="0.25" bottom="0.75" header="1" footer="0.25"/>
  <pageSetup firstPageNumber="26" orientation="portrait" useFirstPageNumber="1" r:id="rId1"/>
  <headerFooter alignWithMargins="0">
    <oddFooter>&amp;C&amp;"Times New Roman,Regular"&amp;9p. 6 of 6&amp;R&amp;"Times New Roman,Regular"&amp;9 2-27-08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Section I</vt:lpstr>
      <vt:lpstr>Section II</vt:lpstr>
      <vt:lpstr>Section III</vt:lpstr>
      <vt:lpstr>Section IV</vt:lpstr>
      <vt:lpstr>Section V</vt:lpstr>
      <vt:lpstr>Section VI</vt:lpstr>
      <vt:lpstr>'Section I'!Print_Area</vt:lpstr>
      <vt:lpstr>'Section II'!Print_Area</vt:lpstr>
      <vt:lpstr>'Section III'!Print_Area</vt:lpstr>
      <vt:lpstr>'Section IV'!Print_Area</vt:lpstr>
      <vt:lpstr>'Section V'!Print_Area</vt:lpstr>
      <vt:lpstr>'Section VI'!Print_Area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LYNN_BOYCE</dc:creator>
  <cp:lastModifiedBy>Lynn Boyce</cp:lastModifiedBy>
  <dcterms:created xsi:type="dcterms:W3CDTF">2010-05-04T14:59:22Z</dcterms:created>
  <dcterms:modified xsi:type="dcterms:W3CDTF">2013-07-24T16:12:56Z</dcterms:modified>
</cp:coreProperties>
</file>